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410" activeTab="0"/>
  </bookViews>
  <sheets>
    <sheet name="Смета по ТСН-2001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по ТСН-2001'!$39:$39</definedName>
    <definedName name="_xlnm.Print_Area" localSheetId="0">'Смета по ТСН-2001'!$A$1:$K$165</definedName>
  </definedNames>
  <calcPr fullCalcOnLoad="1"/>
</workbook>
</file>

<file path=xl/sharedStrings.xml><?xml version="1.0" encoding="utf-8"?>
<sst xmlns="http://schemas.openxmlformats.org/spreadsheetml/2006/main" count="1492" uniqueCount="245">
  <si>
    <t>Новый объект</t>
  </si>
  <si>
    <t>№ 186-23.06.16 Смета на сцену (Ольга Нурминен)</t>
  </si>
  <si>
    <t/>
  </si>
  <si>
    <t>ТСН-2001 ремонт</t>
  </si>
  <si>
    <t>Сметные нормы списания</t>
  </si>
  <si>
    <t>Коды ОКП для ТСН-2001</t>
  </si>
  <si>
    <t>ТСН 2001- Ремонт</t>
  </si>
  <si>
    <t>Типовой расчет для ТСН-2001 (Ремонт)</t>
  </si>
  <si>
    <t>ТСН-2001</t>
  </si>
  <si>
    <t>Новая локальная смета</t>
  </si>
  <si>
    <t>{4D67E2CE-EC6D-432C-906B-D793D38822A1}</t>
  </si>
  <si>
    <t>1</t>
  </si>
  <si>
    <t>6.53-1-1</t>
  </si>
  <si>
    <t>РАЗБОРКА НЕОШТУКАТУРЕННОЙ ДОЩАТОЙ ОБШИВКИ КАРКАСНО-ОБШИВНЫХ СТЕН</t>
  </si>
  <si>
    <t>100 м2</t>
  </si>
  <si>
    <t>ТСН-2001.6. База. Сб.53, т.1, поз.1</t>
  </si>
  <si>
    <t>Ремонтно-строительные работы</t>
  </si>
  <si>
    <t>ТСН-2001.6-53. 53-1, 53-2</t>
  </si>
  <si>
    <t>ТСН-2001.6-53-1</t>
  </si>
  <si>
    <t>2</t>
  </si>
  <si>
    <t>6.62-31-1</t>
  </si>
  <si>
    <t>РАСЧИСТКА ПОВЕРХНОСТЕЙ ОТ СТАРЫХ ПОКРАСОК (ШПАТЕЛЕМ, ЩЕТКАМИ И Т.Д.)</t>
  </si>
  <si>
    <t>м2</t>
  </si>
  <si>
    <t>ТСН-2001.6. База. Сб.62, т.31, поз.1</t>
  </si>
  <si>
    <t>ТСН-2001.6-62. 62-31...62-41</t>
  </si>
  <si>
    <t>ТСН-2001.6-62-13</t>
  </si>
  <si>
    <t>3</t>
  </si>
  <si>
    <t>3.9-61-1</t>
  </si>
  <si>
    <t>ИЗГОТОВЛЕНИЕ РЕШЕТЧАТЫХ КОНСТРУКЦИЙ (СТОЙКИ, ОПОРЫ, ФЕРМЫ И ПР.)</t>
  </si>
  <si>
    <t>т</t>
  </si>
  <si>
    <t>ТСН-2001.3. База. Сб.9, т.61, поз.1</t>
  </si>
  <si>
    <t>)*1,25</t>
  </si>
  <si>
    <t>)*1,15</t>
  </si>
  <si>
    <t>Строительные работы</t>
  </si>
  <si>
    <t>ТСН-2001.3-9. 9-1...9-72</t>
  </si>
  <si>
    <t>ТСН-2001.3-9-1</t>
  </si>
  <si>
    <t>3,1</t>
  </si>
  <si>
    <t>1.1-1-2282</t>
  </si>
  <si>
    <t>ПРОФИЛИ СТАЛЬНЫЕ ЭЛЕКТРОСВАРНЫЕ КВАДРАТНОГО СЕЧЕНИЯ ТРУБЧАТЫЕ, РАЗМЕР СТОРОНЫ 50 ММ, ТОЛЩИНА СТЕНКИ 3 ММ</t>
  </si>
  <si>
    <t>ТСН-2001.1. База. Р.1, о.1, поз.2282</t>
  </si>
  <si>
    <t>3,2</t>
  </si>
  <si>
    <t>1.1-1-2355</t>
  </si>
  <si>
    <t>ПРОФИЛИ СТАЛЬНЫЕ ЭЛЕКТРОСВАРНЫЕ ПРЯМОУГОЛЬНОГО СЕЧЕНИЯ ТРУБЧАТЫЕ, РАЗМЕР 40Х80 ММ, ТОЛЩИНА СТЕНКИ 3,0 ММ</t>
  </si>
  <si>
    <t>ТСН-2001.1. База. Р.1, о.1, поз.2355</t>
  </si>
  <si>
    <t>3,3</t>
  </si>
  <si>
    <t>1.1-1-2320</t>
  </si>
  <si>
    <t>ПРОФИЛИ СТАЛЬНЫЕ ЭЛЕКТРОСВАРНЫЕ ПРЯМОУГОЛЬНОГО СЕЧЕНИЯ ТРУБЧАТЫЕ, РАЗМЕР 25Х50 ММ, ТОЛЩИНА СТЕНКИ 2,0 ММ</t>
  </si>
  <si>
    <t>ТСН-2001.1. База. Р.1, о.1, поз.2320</t>
  </si>
  <si>
    <t>4</t>
  </si>
  <si>
    <t>3.9-18-1</t>
  </si>
  <si>
    <t>МОНТАЖ СВЯЗЕЙ И РАСПОРОК ИЗ ОДИНОЧНЫХ И ПАРНЫХ УГОЛКОВ, ГНУТОСВАРНЫХ ПРОФИЛЕЙ ДЛЯ ПРОЛЕТОВ, ДО 24 М ПРИ ВЫСОТЕ ЗДАНИЯ, ДО: 25 М</t>
  </si>
  <si>
    <t>ТСН-2001.3. База. Сб.9, т.18, поз.1</t>
  </si>
  <si>
    <t>5</t>
  </si>
  <si>
    <t>3.13-9-2</t>
  </si>
  <si>
    <t>ОГРУНТОВКА МЕТАЛЛИЧЕСКИХ ПОВЕРХНОСТЕЙ ГРУНТОВКОЙ ГФ-021 ЗА ОДИН РАЗ</t>
  </si>
  <si>
    <t>ТСН-2001.3. База. Сб.13, т.9, поз.2</t>
  </si>
  <si>
    <t>ТСН-2001.3-13. 13-1...13-16, 13-17-1...13-17-4</t>
  </si>
  <si>
    <t>ТСН-2001.3-13-1</t>
  </si>
  <si>
    <t>5,1</t>
  </si>
  <si>
    <t>1.1-1-165</t>
  </si>
  <si>
    <t>ГРУНТОВКА ГЛИФТАЛЕВАЯ, ГФ-021</t>
  </si>
  <si>
    <t>ТСН-2001.1. База. Р.1, о.1, поз.165</t>
  </si>
  <si>
    <t>6</t>
  </si>
  <si>
    <t>3.13-11-1</t>
  </si>
  <si>
    <t>ОКРАСКА ОГРУНТОВАННЫХ МЕТАЛЛИЧЕСКИХ ПОВЕРХНОСТЕЙ ЭМАЛЬЮ ЭП-140</t>
  </si>
  <si>
    <t>ТСН-2001.3. База. Сб.13, т.11, поз.1</t>
  </si>
  <si>
    <t>6,1</t>
  </si>
  <si>
    <t>1.1-1-3164</t>
  </si>
  <si>
    <t>ЭМАЛЬ НИТРОЦЕЛЛЮЛОЗНАЯ, ЦВЕТНАЯ, МАРКА НЦ-132</t>
  </si>
  <si>
    <t>кг</t>
  </si>
  <si>
    <t>ТСН-2001.1. Доп.10. Р.1, о.1, поз.3164</t>
  </si>
  <si>
    <t>7</t>
  </si>
  <si>
    <t>3.10-71-1</t>
  </si>
  <si>
    <t>УСТРОЙСТВО ПЕРЕГОРОДОК С ОДНОРЯДНЫМ КАРКАСОМ С ОБШИВКОЙ ГИПСОКАРТОННЫМИ ЛИСТАМИ ОДНОЙ СТОРОНЫ В ОДИН СЛОЙ - ОДНОСЛОЙНЫЕ (БЕЗ ПОДГОТОВКИ ПОД ОТДЕЛКУ)</t>
  </si>
  <si>
    <t>ТСН-2001.3. База. Сб.10, т.71, поз.1</t>
  </si>
  <si>
    <t>*1,25</t>
  </si>
  <si>
    <t>*1,15</t>
  </si>
  <si>
    <t>ТСН-2001.3-10. 10-70...10-72</t>
  </si>
  <si>
    <t>ТСН-2001.3-10-2</t>
  </si>
  <si>
    <t>7,1</t>
  </si>
  <si>
    <t>1.7-4-24</t>
  </si>
  <si>
    <t>ПРОФИЛИ МЕТАЛЛИЧЕСКИЕ ДЛЯ МОНТАЖА ГИПСОВЫХ ПЕРЕГОРОДОК И ПОДВЕСНЫХ ПОТОЛКОВ СТАЛЬНЫЕ, ОЦИНКОВАННЫЕ, МАРКА ПУ-2, ПРОФИЛЬ УГЛОВОЙ, СЕЧЕНИЕ 31Х31Х0,55 ММ</t>
  </si>
  <si>
    <t>ТСН-2001.1. База. Р.7, о.4, поз.24</t>
  </si>
  <si>
    <t>7,2</t>
  </si>
  <si>
    <t>7,3</t>
  </si>
  <si>
    <t>7,4</t>
  </si>
  <si>
    <t>1.1-1-2661</t>
  </si>
  <si>
    <t>ЛИСТЫ ГИПСОВОЛОКНИСТЫЕ ВЛАГОСТОЙКИЕ ГВЛВ, ТОЛЩИНА 12,5 ММ</t>
  </si>
  <si>
    <t>ТСН-2001.1. База. Р.1, о.1, поз.2661</t>
  </si>
  <si>
    <t>8</t>
  </si>
  <si>
    <t>3.10-72-1</t>
  </si>
  <si>
    <t>ОФОРМЛЕНИЕ (ОБДЕЛКА) ДВЕРНЫХ ПРОЕМОВ В ПЕРЕГОРОДКАХ ИЗ ГИПСОКАРТОННЫХ ЛИСТОВ ТОЛЩИНОЙ 12,5 ММ С КАРКАСОМ ИЗ СТАЛЬНЫХ ОЦИНКОВАННЫХ ПРОФИЛЕЙ ПС, ПП</t>
  </si>
  <si>
    <t>ТСН-2001.3. База. Сб.10, т.72, поз.1</t>
  </si>
  <si>
    <t>8,1</t>
  </si>
  <si>
    <t>8,2</t>
  </si>
  <si>
    <t>9</t>
  </si>
  <si>
    <t>3.10-73-1</t>
  </si>
  <si>
    <t>УСТАНОВКА ДЕРЕВЯННЫХ ДВЕРНЫХ БЛОКОВ В ПРОЕМЫ ПЕРЕГОРОДОК ИЗ ГИПСОКАРТОННЫХ ЛИСТОВ ТОЛЩИНОЙ 12,5 ММ</t>
  </si>
  <si>
    <t>ТСН-2001.3. База. Сб.10, т.73, поз.1</t>
  </si>
  <si>
    <t>ТСН-2001.3-10. 10-73-1</t>
  </si>
  <si>
    <t>ТСН-2001.3-10-3</t>
  </si>
  <si>
    <t>9,1</t>
  </si>
  <si>
    <t>1.9-7-19</t>
  </si>
  <si>
    <t>БЛОКИ ДВЕРНЫЕ ВНУТРЕННИЕ, ОДНОПОЛЬНЫЕ, ГЛУХИЕ, СО СПЛОШНЫМ ЗАПОЛНЕНИЕМ ЩИТА, ОКРАШЕННЫЕ, СО СКОБЯНЫМИ ПРИБОРАМИ, С ЗАМКОМ ЗВУ-2, МАРКА ДГ21-9, ПЛОЩАДЬ 1,8 М2</t>
  </si>
  <si>
    <t>ТСН-2001.1. База. Р.9, о.7, поз.19</t>
  </si>
  <si>
    <t>10</t>
  </si>
  <si>
    <t>3.15-28-1</t>
  </si>
  <si>
    <t>ОБЛИЦОВКА ПОВЕРХНОСТЕЙ ДЕКОРАТИВНЫМИ ОТДЕЛОЧНЫМИ ПАНЕЛЯМИ ИЗ ДРЕВЕСНЫХ МАТЕРИАЛОВ</t>
  </si>
  <si>
    <t>ТСН-2001.3. База. Сб.15, т.28, поз.1</t>
  </si>
  <si>
    <t>ТСН-2001.3-15. 15-25...15-29</t>
  </si>
  <si>
    <t>ТСН-2001.3-15-5</t>
  </si>
  <si>
    <t>10,1</t>
  </si>
  <si>
    <t>1.9-11-14</t>
  </si>
  <si>
    <t>ПАНЕЛИ ОТДЕЛОЧНЫЕ ИЗ ДСП, РАЗМЕРЫ 17Х600Х1820 ММ, ОБЛИЦОВАННЫЕ С ОДНОЙ СТОРОНЫ СТРОГАННЫМ ШПОНОМ ТВЕРДОЛИСТВЕННЫХ ПОРОД, ПОКРЫТЫЕ НИТРОЛАКОМ</t>
  </si>
  <si>
    <t>ТСН-2001.1. База. Р.9, о.11, поз.14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</si>
  <si>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</si>
  <si>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</si>
  <si>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</si>
  <si>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</si>
  <si>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</si>
  <si>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</si>
  <si>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</si>
  <si>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</si>
  <si>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</si>
  <si>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</si>
  <si>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</si>
  <si>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</si>
  <si>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</si>
  <si>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</si>
  <si>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</si>
  <si>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</si>
  <si>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</si>
  <si>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</si>
  <si>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</si>
  <si>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</si>
  <si>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</si>
  <si>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</si>
  <si>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</si>
  <si>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</si>
  <si>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</si>
  <si>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</si>
  <si>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Итого</t>
  </si>
  <si>
    <t>НДС 18%</t>
  </si>
  <si>
    <t>Итого с НДС</t>
  </si>
  <si>
    <t>ресурс учтен</t>
  </si>
  <si>
    <t>0930110000</t>
  </si>
  <si>
    <t>МЕТАЛЛ ДЛЯ ИЗГОТОВЛЕНИЯ КОНСТРУКЦИЙ</t>
  </si>
  <si>
    <t>1.1-1-376</t>
  </si>
  <si>
    <t>ТСН-2001.1. База. Р.1, о.1, поз.376</t>
  </si>
  <si>
    <t>КИСЛОРОД ТЕХНИЧЕСКИЙ ГАЗООБРАЗНЫЙ</t>
  </si>
  <si>
    <t>м3</t>
  </si>
  <si>
    <t>1.1-1-987</t>
  </si>
  <si>
    <t>ТСН-2001.1. База. Р.1, о.1, поз.987</t>
  </si>
  <si>
    <t>ПРОПАН-БУТАН ГАЗООБРАЗНЫЙ</t>
  </si>
  <si>
    <t>5261600000</t>
  </si>
  <si>
    <t>СТАЛЬНЫЕ СВЯЗИ И РАСПОРКИ</t>
  </si>
  <si>
    <t>4980000000</t>
  </si>
  <si>
    <t>СКОБЯНЫЕ ИЗДЕЛИЯ</t>
  </si>
  <si>
    <t>компл.</t>
  </si>
  <si>
    <t>0272310000</t>
  </si>
  <si>
    <t>ПРОПАН-БУТАН</t>
  </si>
  <si>
    <t>2114110000</t>
  </si>
  <si>
    <t>КИСЛОРОД</t>
  </si>
  <si>
    <t>2312130000</t>
  </si>
  <si>
    <t>ГРУНТОВКА ГФ-021 КРАСНО-КОРИЧНЕВАЯ</t>
  </si>
  <si>
    <t>2312520000</t>
  </si>
  <si>
    <t>ЭМАЛЬ ЭП-140</t>
  </si>
  <si>
    <t>5284510000</t>
  </si>
  <si>
    <t>ПРОФИЛИ ХОЛОДНОГНУТЫЕ ИЗ ОЦИНКОВАННОЙ СТАЛИ ТОЛЩИНОЙ 0,6 ММ - ПН</t>
  </si>
  <si>
    <t>ПРОФИЛИ ХОЛОДНОГНУТЫЕ ИЗ ОЦИНКОВАННОЙ СТАЛИ ТОЛЩИНОЙ 0,6 ММ - ПС</t>
  </si>
  <si>
    <t>ПРОФИЛИ ХОЛОДНОГНУТЫЕ ИЗ ОЦИНКОВАННОЙ СТАЛИ ТОЛЩИНОЙ 0,6 ММ-ПУ2</t>
  </si>
  <si>
    <t>5742130000</t>
  </si>
  <si>
    <t>ЛИСТЫ ГИПСОКАРТОННЫЕ</t>
  </si>
  <si>
    <t>5361110000</t>
  </si>
  <si>
    <t>БЛОКИ ДВЕРНЫЕ</t>
  </si>
  <si>
    <t>5534510000</t>
  </si>
  <si>
    <t>ПАНЕЛИ ДЕКОРАТИВНЫЕ ИЗ ДРЕВЕСНЫХ МАТЕРИАЛОВ</t>
  </si>
  <si>
    <t>Форма № 1а</t>
  </si>
  <si>
    <t>"СОГЛАСОВАНО"</t>
  </si>
  <si>
    <t>"УТВЕРЖДАЮ"</t>
  </si>
  <si>
    <t>"_____"________________200___ г.</t>
  </si>
  <si>
    <t>(Наименование стройки)</t>
  </si>
  <si>
    <t>(локальный сметный расчет)</t>
  </si>
  <si>
    <t xml:space="preserve">  на</t>
  </si>
  <si>
    <t>(наименование работ и затрат, наименование объекта)</t>
  </si>
  <si>
    <t>базовая</t>
  </si>
  <si>
    <t>текущая</t>
  </si>
  <si>
    <t>цена</t>
  </si>
  <si>
    <t>Сметная стоимость</t>
  </si>
  <si>
    <t>тыс.руб</t>
  </si>
  <si>
    <t>Монтажные работы</t>
  </si>
  <si>
    <t>Оборудование</t>
  </si>
  <si>
    <t>Прочие работы</t>
  </si>
  <si>
    <t>Средства на оплату труда</t>
  </si>
  <si>
    <t>Составлен(а) в уровне текущих (прогнозных) цен на</t>
  </si>
  <si>
    <t>г.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</si>
  <si>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</si>
  <si>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</si>
  <si>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</si>
  <si>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</si>
  <si>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</si>
  <si>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</si>
  <si>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</si>
  <si>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</si>
  <si>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</si>
  <si>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</si>
  <si>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</si>
  <si>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</si>
  <si>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</si>
  <si>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</si>
  <si>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</si>
  <si>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руб.</t>
  </si>
  <si>
    <t>Коэффициенты</t>
  </si>
  <si>
    <t>попра-</t>
  </si>
  <si>
    <t>вочные</t>
  </si>
  <si>
    <t>зимних</t>
  </si>
  <si>
    <t>удоро-</t>
  </si>
  <si>
    <t>жаний</t>
  </si>
  <si>
    <t>ВСЕГО</t>
  </si>
  <si>
    <t>в базисных</t>
  </si>
  <si>
    <t>ценах,</t>
  </si>
  <si>
    <t>Коэфф.</t>
  </si>
  <si>
    <t>пере-</t>
  </si>
  <si>
    <t>счета</t>
  </si>
  <si>
    <t>и нормы</t>
  </si>
  <si>
    <t>НР и СП</t>
  </si>
  <si>
    <t>в текущих</t>
  </si>
  <si>
    <t>(прогнозных)</t>
  </si>
  <si>
    <t>ценах, руб.</t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</si>
  <si>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</si>
  <si>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</si>
  <si>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</si>
  <si>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</si>
  <si>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</si>
  <si>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</si>
  <si>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</si>
  <si>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</si>
  <si>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</si>
  <si>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>МР</t>
  </si>
  <si>
    <t>Итого по объекту</t>
  </si>
  <si>
    <t>Итого по смете</t>
  </si>
  <si>
    <t>Составил</t>
  </si>
  <si>
    <t>[должность,подпись(инициалы,фамилия)]</t>
  </si>
  <si>
    <t>Проверил:</t>
  </si>
  <si>
    <t>Выполнение ремонтных работ сцены по адресу: г. Зеленоград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</si>
</sst>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\ #,##0.00"/>
    <numFmt numFmtId="181" formatCode="mmmm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u val="single"/>
      <sz val="14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180" fontId="9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180" fontId="9" fillId="0" borderId="0" xfId="0" applyNumberFormat="1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180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80" fontId="1" fillId="0" borderId="0" xfId="0" applyNumberFormat="1" applyFont="1" applyAlignment="1">
      <alignment horizontal="right"/>
    </xf>
    <xf numFmtId="180" fontId="14" fillId="0" borderId="0" xfId="0" applyNumberFormat="1" applyFont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4"/>
  <sheetViews>
    <sheetView tabSelected="1" zoomScalePageLayoutView="0" workbookViewId="0" topLeftCell="A7">
      <selection activeCell="AH40" sqref="AH40"/>
    </sheetView>
  </sheetViews>
  <sheetFormatPr defaultColWidth="9.140625" defaultRowHeight="12.75"/>
  <cols>
    <col min="1" max="1" width="4.7109375" style="0" customWidth="1"/>
    <col min="2" max="2" width="12.28125" style="0" customWidth="1"/>
    <col min="3" max="3" width="30.7109375" style="0" customWidth="1"/>
    <col min="4" max="4" width="10.7109375" style="0" customWidth="1"/>
    <col min="7" max="8" width="9.7109375" style="0" customWidth="1"/>
    <col min="9" max="9" width="10.7109375" style="0" customWidth="1"/>
    <col min="10" max="10" width="9.7109375" style="0" customWidth="1"/>
    <col min="11" max="11" width="10.7109375" style="0" customWidth="1"/>
    <col min="12" max="28" width="0" style="0" hidden="1" customWidth="1"/>
  </cols>
  <sheetData>
    <row r="1" s="4" customFormat="1" ht="11.25"/>
    <row r="2" s="4" customFormat="1" ht="11.25">
      <c r="K2" s="4" t="s">
        <v>177</v>
      </c>
    </row>
    <row r="3" spans="1:9" s="5" customFormat="1" ht="15">
      <c r="A3" s="5" t="s">
        <v>178</v>
      </c>
      <c r="F3" s="51" t="s">
        <v>179</v>
      </c>
      <c r="G3" s="51"/>
      <c r="H3" s="51"/>
      <c r="I3" s="51"/>
    </row>
    <row r="5" spans="1:11" ht="12.75">
      <c r="A5" s="52">
        <f>Source!AS12</f>
      </c>
      <c r="B5" s="52"/>
      <c r="C5" s="52">
        <f>Source!CH12</f>
      </c>
      <c r="D5" s="52"/>
      <c r="E5" s="7"/>
      <c r="F5" s="52">
        <f>Source!AR12</f>
      </c>
      <c r="G5" s="52"/>
      <c r="H5" s="52"/>
      <c r="I5" s="52">
        <f>Source!CG12</f>
      </c>
      <c r="J5" s="52"/>
      <c r="K5" s="52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8"/>
      <c r="C7" s="52">
        <f>Source!M12</f>
      </c>
      <c r="D7" s="52"/>
      <c r="E7" s="7"/>
      <c r="F7" s="8"/>
      <c r="G7" s="8"/>
      <c r="H7" s="52">
        <f>Source!L12</f>
      </c>
      <c r="I7" s="52"/>
      <c r="J7" s="52"/>
      <c r="K7" s="52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6" s="5" customFormat="1" ht="15">
      <c r="A9" s="5" t="s">
        <v>180</v>
      </c>
      <c r="F9" s="5" t="s">
        <v>180</v>
      </c>
    </row>
    <row r="12" spans="1:11" ht="12.75">
      <c r="A12" s="45" t="str">
        <f>IF(Source!G4&lt;&gt;"",Source!G4,IF(Source!F4&lt;&gt;"",Source!F4,IF(Source!G5&lt;&gt;"",Source!G5,IF(Source!F5&lt;&gt;"",Source!F5,IF(Source!G6&lt;&gt;"",Source!G6,IF(Source!F6&lt;&gt;"",Source!F6," "))))))</f>
        <v> 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ht="12.75">
      <c r="A13" s="4" t="s">
        <v>181</v>
      </c>
    </row>
    <row r="15" spans="1:11" ht="13.5">
      <c r="A15" s="46" t="str">
        <f>CONCATENATE("ЛОКАЛЬНАЯ СМЕТА №  ")</f>
        <v>ЛОКАЛЬНАЯ СМЕТА №  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12.75">
      <c r="A16" s="48" t="s">
        <v>182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ht="12.75" hidden="1"/>
    <row r="18" spans="1:11" ht="15.75" hidden="1">
      <c r="A18" s="49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ht="12.75" hidden="1"/>
    <row r="20" spans="1:11" ht="36.75" customHeight="1">
      <c r="A20" s="4" t="s">
        <v>183</v>
      </c>
      <c r="B20" s="50" t="s">
        <v>244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2:11" ht="12.75">
      <c r="B21" s="48" t="s">
        <v>184</v>
      </c>
      <c r="C21" s="47"/>
      <c r="D21" s="47"/>
      <c r="E21" s="47"/>
      <c r="F21" s="47"/>
      <c r="G21" s="47"/>
      <c r="H21" s="47"/>
      <c r="I21" s="47"/>
      <c r="J21" s="47"/>
      <c r="K21" s="47"/>
    </row>
    <row r="23" spans="1:11" ht="12.75">
      <c r="A23" s="37" t="str">
        <f>CONCATENATE("Основание: чертежи № ",Source!J20)</f>
        <v>Основание: чертежи № 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5" spans="9:10" ht="12.75">
      <c r="I25" s="11" t="s">
        <v>185</v>
      </c>
      <c r="J25" s="11" t="s">
        <v>186</v>
      </c>
    </row>
    <row r="26" spans="9:10" ht="12.75">
      <c r="I26" s="11" t="s">
        <v>187</v>
      </c>
      <c r="J26" s="11" t="s">
        <v>187</v>
      </c>
    </row>
    <row r="27" spans="7:11" ht="12.75">
      <c r="G27" s="4" t="s">
        <v>188</v>
      </c>
      <c r="H27" s="4"/>
      <c r="I27" s="12">
        <f>H155/1000</f>
        <v>90.51824859603938</v>
      </c>
      <c r="J27" s="12">
        <f>(Source!O22+Source!X22+Source!Y22+Source!R22*167/100)/1000+0.18*(Source!O22+Source!X22+Source!Y22+Source!R22*167/100)/1000</f>
        <v>874.99999678</v>
      </c>
      <c r="K27" s="6" t="s">
        <v>189</v>
      </c>
    </row>
    <row r="28" spans="7:11" ht="12.75" hidden="1">
      <c r="G28" s="4" t="s">
        <v>33</v>
      </c>
      <c r="H28" s="4"/>
      <c r="I28" s="12">
        <f>SUM(O40:O156)/1000</f>
        <v>90.5182485960394</v>
      </c>
      <c r="J28" s="12">
        <f>SUM(U40:U156)/1000</f>
        <v>741.5254209999998</v>
      </c>
      <c r="K28" s="6" t="s">
        <v>189</v>
      </c>
    </row>
    <row r="29" spans="7:11" ht="12.75" hidden="1">
      <c r="G29" s="4" t="s">
        <v>190</v>
      </c>
      <c r="I29" s="12">
        <f>SUM(P40:P156)/1000</f>
        <v>0</v>
      </c>
      <c r="J29" s="12">
        <f>SUM(V40:V156)/1000</f>
        <v>0</v>
      </c>
      <c r="K29" s="6" t="s">
        <v>189</v>
      </c>
    </row>
    <row r="30" spans="7:11" ht="12.75" hidden="1">
      <c r="G30" s="4" t="s">
        <v>191</v>
      </c>
      <c r="I30" s="12">
        <f>SUM(Q40:Q156)/1000</f>
        <v>0</v>
      </c>
      <c r="J30" s="12">
        <f>SUM(W40:W156)/1000</f>
        <v>0</v>
      </c>
      <c r="K30" s="6" t="s">
        <v>189</v>
      </c>
    </row>
    <row r="31" spans="7:11" ht="12.75" hidden="1">
      <c r="G31" s="4" t="s">
        <v>192</v>
      </c>
      <c r="I31" s="12">
        <f>SUM(R40:R156)/1000</f>
        <v>0</v>
      </c>
      <c r="J31" s="12">
        <f>SUM(X40:X156)/1000</f>
        <v>0</v>
      </c>
      <c r="K31" s="6" t="s">
        <v>189</v>
      </c>
    </row>
    <row r="32" spans="7:11" ht="12.75">
      <c r="G32" s="4" t="s">
        <v>193</v>
      </c>
      <c r="I32" s="12">
        <f>L155/1000</f>
        <v>12.677673373321518</v>
      </c>
      <c r="J32" s="12">
        <f>((Source!F56+Source!F55)/1000)</f>
        <v>216.02754</v>
      </c>
      <c r="K32" s="6" t="s">
        <v>189</v>
      </c>
    </row>
    <row r="33" spans="1:6" ht="12.75">
      <c r="A33" s="4" t="s">
        <v>194</v>
      </c>
      <c r="B33" s="4"/>
      <c r="C33" s="4"/>
      <c r="D33" s="14">
        <f>IF(AND(Source!P12&lt;&gt;0,Source!Q12&lt;&gt;0),DATE(Source!P12,Source!Q12,1),IF(Source!AF12=0,"",IF(Source!AN12=0,"",DATE(Source!AF12,Source!AN12,1))))</f>
        <v>42461</v>
      </c>
      <c r="E33" s="15">
        <f>IF(AND(Source!P12&lt;&gt;0,Source!Q12&lt;&gt;0),Source!P12,IF(Source!AF12=0,"",Source!AF12))</f>
        <v>2016</v>
      </c>
      <c r="F33" s="4" t="s">
        <v>195</v>
      </c>
    </row>
    <row r="34" spans="1:25" ht="12.75">
      <c r="A34" s="20"/>
      <c r="B34" s="20"/>
      <c r="C34" s="20"/>
      <c r="D34" s="20"/>
      <c r="E34" s="20"/>
      <c r="F34" s="19" t="s">
        <v>208</v>
      </c>
      <c r="G34" s="42" t="s">
        <v>212</v>
      </c>
      <c r="H34" s="43"/>
      <c r="I34" s="19" t="s">
        <v>218</v>
      </c>
      <c r="J34" s="19" t="s">
        <v>221</v>
      </c>
      <c r="K34" s="18" t="s">
        <v>218</v>
      </c>
      <c r="Y34">
        <v>-1</v>
      </c>
    </row>
    <row r="35" spans="1:11" ht="12.75">
      <c r="A35" s="17" t="s">
        <v>196</v>
      </c>
      <c r="B35" s="17" t="s">
        <v>198</v>
      </c>
      <c r="C35" s="21"/>
      <c r="D35" s="17" t="s">
        <v>203</v>
      </c>
      <c r="E35" s="17" t="s">
        <v>206</v>
      </c>
      <c r="F35" s="17" t="s">
        <v>209</v>
      </c>
      <c r="G35" s="19"/>
      <c r="H35" s="19" t="s">
        <v>215</v>
      </c>
      <c r="I35" s="17" t="s">
        <v>219</v>
      </c>
      <c r="J35" s="17" t="s">
        <v>222</v>
      </c>
      <c r="K35" s="16" t="s">
        <v>226</v>
      </c>
    </row>
    <row r="36" spans="1:11" ht="12.75">
      <c r="A36" s="17" t="s">
        <v>197</v>
      </c>
      <c r="B36" s="17" t="s">
        <v>199</v>
      </c>
      <c r="C36" s="17" t="s">
        <v>202</v>
      </c>
      <c r="D36" s="17" t="s">
        <v>204</v>
      </c>
      <c r="E36" s="17" t="s">
        <v>207</v>
      </c>
      <c r="F36" s="17" t="s">
        <v>210</v>
      </c>
      <c r="G36" s="17" t="s">
        <v>213</v>
      </c>
      <c r="H36" s="17" t="s">
        <v>216</v>
      </c>
      <c r="I36" s="17" t="s">
        <v>220</v>
      </c>
      <c r="J36" s="17" t="s">
        <v>223</v>
      </c>
      <c r="K36" s="22" t="s">
        <v>227</v>
      </c>
    </row>
    <row r="37" spans="1:11" ht="12.75">
      <c r="A37" s="21"/>
      <c r="B37" s="17" t="s">
        <v>200</v>
      </c>
      <c r="C37" s="21"/>
      <c r="D37" s="17" t="s">
        <v>205</v>
      </c>
      <c r="E37" s="21"/>
      <c r="F37" s="17" t="s">
        <v>211</v>
      </c>
      <c r="G37" s="17" t="s">
        <v>214</v>
      </c>
      <c r="H37" s="17" t="s">
        <v>217</v>
      </c>
      <c r="I37" s="17" t="s">
        <v>211</v>
      </c>
      <c r="J37" s="17" t="s">
        <v>224</v>
      </c>
      <c r="K37" s="16" t="s">
        <v>228</v>
      </c>
    </row>
    <row r="38" spans="1:11" ht="12.75">
      <c r="A38" s="21"/>
      <c r="B38" s="17" t="s">
        <v>201</v>
      </c>
      <c r="C38" s="21"/>
      <c r="D38" s="21"/>
      <c r="E38" s="21"/>
      <c r="F38" s="21"/>
      <c r="G38" s="17"/>
      <c r="H38" s="17"/>
      <c r="I38" s="17"/>
      <c r="J38" s="17" t="s">
        <v>225</v>
      </c>
      <c r="K38" s="16"/>
    </row>
    <row r="39" spans="1:11" ht="12.75">
      <c r="A39" s="23">
        <v>1</v>
      </c>
      <c r="B39" s="23">
        <v>2</v>
      </c>
      <c r="C39" s="23">
        <v>3</v>
      </c>
      <c r="D39" s="23">
        <v>4</v>
      </c>
      <c r="E39" s="23">
        <v>5</v>
      </c>
      <c r="F39" s="23">
        <v>6</v>
      </c>
      <c r="G39" s="23">
        <v>7</v>
      </c>
      <c r="H39" s="23">
        <v>8</v>
      </c>
      <c r="I39" s="23">
        <v>9</v>
      </c>
      <c r="J39" s="23">
        <v>10</v>
      </c>
      <c r="K39" s="24">
        <v>11</v>
      </c>
    </row>
    <row r="40" spans="1:25" ht="36">
      <c r="A40" s="25" t="str">
        <f>Source!E24</f>
        <v>1</v>
      </c>
      <c r="B40" s="25" t="str">
        <f>Source!F24</f>
        <v>6.53-1-1</v>
      </c>
      <c r="C40" s="10" t="str">
        <f>Source!G24</f>
        <v>РАЗБОРКА НЕОШТУКАТУРЕННОЙ ДОЩАТОЙ ОБШИВКИ КАРКАСНО-ОБШИВНЫХ СТЕН</v>
      </c>
      <c r="D40" s="26" t="str">
        <f>Source!H24</f>
        <v>100 м2</v>
      </c>
      <c r="E40" s="6">
        <f>ROUND(Source!I24,6)</f>
        <v>1.5</v>
      </c>
      <c r="F40" s="6"/>
      <c r="G40" s="6"/>
      <c r="H40" s="6"/>
      <c r="I40" s="6"/>
      <c r="J40" s="6"/>
      <c r="K40" s="6"/>
      <c r="Y40">
        <v>1</v>
      </c>
    </row>
    <row r="41" spans="1:11" ht="12.75">
      <c r="A41" s="6"/>
      <c r="B41" s="6"/>
      <c r="C41" s="6" t="s">
        <v>229</v>
      </c>
      <c r="D41" s="6"/>
      <c r="E41" s="6"/>
      <c r="F41" s="12">
        <f>Source!AO24</f>
        <v>121.89</v>
      </c>
      <c r="G41" s="27">
        <f>Source!DG24</f>
      </c>
      <c r="H41" s="6">
        <f>Source!AV24</f>
        <v>1</v>
      </c>
      <c r="I41" s="12">
        <f>(Source!CT24/IF(Source!BA24&lt;&gt;0,Source!BA24,1)*Source!I24)</f>
        <v>182.835</v>
      </c>
      <c r="J41" s="6">
        <f>Source!BA24</f>
        <v>17.04</v>
      </c>
      <c r="K41" s="12">
        <f>Source!S24</f>
        <v>3115.51</v>
      </c>
    </row>
    <row r="42" spans="1:11" ht="12.75">
      <c r="A42" s="6"/>
      <c r="B42" s="6"/>
      <c r="C42" s="6" t="s">
        <v>230</v>
      </c>
      <c r="D42" s="6"/>
      <c r="E42" s="6"/>
      <c r="F42" s="12">
        <f>Source!AM24</f>
        <v>0.58</v>
      </c>
      <c r="G42" s="27">
        <f>Source!DE24</f>
      </c>
      <c r="H42" s="6">
        <f>Source!AV24</f>
        <v>1</v>
      </c>
      <c r="I42" s="12">
        <f>(Source!CR24/IF(Source!BB24&lt;&gt;0,Source!BB24,1)*Source!I24)</f>
        <v>0.8699999999999999</v>
      </c>
      <c r="J42" s="6">
        <f>Source!BB24</f>
        <v>10.72</v>
      </c>
      <c r="K42" s="12">
        <f>Source!Q24</f>
        <v>9.33</v>
      </c>
    </row>
    <row r="43" spans="1:12" ht="12.75">
      <c r="A43" s="6"/>
      <c r="B43" s="6"/>
      <c r="C43" s="6" t="s">
        <v>231</v>
      </c>
      <c r="D43" s="6"/>
      <c r="E43" s="6"/>
      <c r="F43" s="12">
        <f>Source!AN24</f>
        <v>0.3</v>
      </c>
      <c r="G43" s="27">
        <f>Source!DF24</f>
      </c>
      <c r="H43" s="6">
        <f>Source!AV24</f>
        <v>1</v>
      </c>
      <c r="I43" s="28" t="str">
        <f>CONCATENATE("(",TEXT(+(Source!CS24/IF(J43&lt;&gt;0,J43,1)*Source!I24),"0,00"),")")</f>
        <v>(0,45)</v>
      </c>
      <c r="J43" s="6">
        <f>Source!BS24</f>
        <v>17.04</v>
      </c>
      <c r="K43" s="28" t="str">
        <f>CONCATENATE("(",TEXT(+Source!R24,"0,00"),")")</f>
        <v>(7,67)</v>
      </c>
      <c r="L43">
        <f>IF(J43&lt;&gt;0,Source!R24/J43,Source!R24)</f>
        <v>0.4501173708920188</v>
      </c>
    </row>
    <row r="44" spans="1:11" ht="12.75">
      <c r="A44" s="6"/>
      <c r="B44" s="6"/>
      <c r="C44" s="6" t="s">
        <v>232</v>
      </c>
      <c r="D44" s="6" t="s">
        <v>233</v>
      </c>
      <c r="E44" s="6">
        <f>Source!DN24</f>
        <v>80</v>
      </c>
      <c r="F44" s="6"/>
      <c r="G44" s="6"/>
      <c r="H44" s="6"/>
      <c r="I44" s="12">
        <f>(E44/100)*(Source!CT24/IF(Source!BA24&lt;&gt;0,Source!BA24,1)*Source!I24)</f>
        <v>146.268</v>
      </c>
      <c r="J44" s="6">
        <f>Source!AT24</f>
        <v>72</v>
      </c>
      <c r="K44" s="12">
        <f>Source!X24</f>
        <v>2243.17</v>
      </c>
    </row>
    <row r="45" spans="1:11" ht="12.75">
      <c r="A45" s="6"/>
      <c r="B45" s="6"/>
      <c r="C45" s="6" t="s">
        <v>234</v>
      </c>
      <c r="D45" s="6" t="s">
        <v>233</v>
      </c>
      <c r="E45" s="6">
        <f>Source!DO24</f>
        <v>55</v>
      </c>
      <c r="F45" s="6"/>
      <c r="G45" s="6"/>
      <c r="H45" s="6"/>
      <c r="I45" s="12">
        <f>(E45/100)*(Source!CT24/IF(Source!BA24&lt;&gt;0,Source!BA24,1)*Source!I24)</f>
        <v>100.55925</v>
      </c>
      <c r="J45" s="6">
        <f>Source!AU24</f>
        <v>44</v>
      </c>
      <c r="K45" s="12">
        <f>Source!Y24</f>
        <v>1370.82</v>
      </c>
    </row>
    <row r="46" spans="1:11" ht="12.75">
      <c r="A46" s="6"/>
      <c r="B46" s="6"/>
      <c r="C46" s="6" t="s">
        <v>235</v>
      </c>
      <c r="D46" s="6" t="s">
        <v>233</v>
      </c>
      <c r="E46" s="6">
        <v>175</v>
      </c>
      <c r="F46" s="6"/>
      <c r="G46" s="6"/>
      <c r="H46" s="6"/>
      <c r="I46" s="12">
        <f>(Source!CS24/IF(Source!BS24&lt;&gt;0,Source!BS24,1)*Source!I24)*1.75</f>
        <v>0.7874999999999999</v>
      </c>
      <c r="J46" s="6">
        <v>167</v>
      </c>
      <c r="K46" s="12">
        <f>Source!R24*J46/100</f>
        <v>12.808900000000001</v>
      </c>
    </row>
    <row r="47" spans="1:11" ht="12.75">
      <c r="A47" s="29"/>
      <c r="B47" s="29"/>
      <c r="C47" s="29" t="s">
        <v>236</v>
      </c>
      <c r="D47" s="29" t="s">
        <v>237</v>
      </c>
      <c r="E47" s="29">
        <f>Source!AQ24</f>
        <v>12.3</v>
      </c>
      <c r="F47" s="29"/>
      <c r="G47" s="30">
        <f>Source!DI24</f>
      </c>
      <c r="H47" s="29">
        <f>Source!AV24</f>
        <v>1</v>
      </c>
      <c r="I47" s="31">
        <f>ROUND(Source!U24,2)</f>
        <v>18.45</v>
      </c>
      <c r="J47" s="29"/>
      <c r="K47" s="29"/>
    </row>
    <row r="48" spans="9:24" ht="12.75">
      <c r="I48" s="32">
        <f>(Source!CT24/IF(Source!BA24&lt;&gt;0,Source!BA24,1)*Source!I24)+(Source!CR24/IF(Source!BB24&lt;&gt;0,Source!BB24,1)*Source!I24)+SUM(I44:I46)</f>
        <v>431.31975</v>
      </c>
      <c r="J48" s="9"/>
      <c r="K48" s="32">
        <f>Source!S24+Source!Q24+SUM(K44:K46)</f>
        <v>6751.6389</v>
      </c>
      <c r="L48">
        <f>(Source!CT24/IF(Source!BA24&lt;&gt;0,Source!BA24,1)*Source!I24)</f>
        <v>182.835</v>
      </c>
      <c r="M48" s="13">
        <f>I48</f>
        <v>431.31975</v>
      </c>
      <c r="O48">
        <f>IF(Source!BI24=1,((Source!CT24/IF(Source!BA24&lt;&gt;0,Source!BA24,1)*Source!I24)+(Source!CR24/IF(Source!BB24&lt;&gt;0,Source!BB24,1)*Source!I24)+(Source!CQ24/IF(Source!BC24&lt;&gt;0,Source!BC24,1)*Source!I24)+((Source!DN24/100)*(Source!CT24/IF(Source!BA24&lt;&gt;0,Source!BA24,1)*Source!I24))+((Source!DO24/100)*(Source!CT24/IF(Source!BA24&lt;&gt;0,Source!BA24,1)*Source!I24))+((Source!CS24/IF(Source!BS24&lt;&gt;0,Source!BS24,1)*Source!I24)*1.75)),0)</f>
        <v>431.31975000000006</v>
      </c>
      <c r="P48">
        <f>IF(Source!BI24=2,((Source!CT24/IF(Source!BA24&lt;&gt;0,Source!BA24,1)*Source!I24)+(Source!CR24/IF(Source!BB24&lt;&gt;0,Source!BB24,1)*Source!I24)+(Source!CQ24/IF(Source!BC24&lt;&gt;0,Source!BC24,1)*Source!I24)+((Source!DN24/100)*(Source!CT24/IF(Source!BA24&lt;&gt;0,Source!BA24,1)*Source!I24))+((Source!DO24/100)*(Source!CT24/IF(Source!BA24&lt;&gt;0,Source!BA24,1)*Source!I24))+((Source!CS24/IF(Source!BS24&lt;&gt;0,Source!BS24,1)*Source!I24)*1.75)),0)</f>
        <v>0</v>
      </c>
      <c r="Q48">
        <f>IF(Source!BI24=3,((Source!CT24/IF(Source!BA24&lt;&gt;0,Source!BA24,1)*Source!I24)+(Source!CR24/IF(Source!BB24&lt;&gt;0,Source!BB24,1)*Source!I24)+(Source!CQ24/IF(Source!BC24&lt;&gt;0,Source!BC24,1)*Source!I24)+((Source!DN24/100)*(Source!CT24/IF(Source!BA24&lt;&gt;0,Source!BA24,1)*Source!I24))+((Source!DO24/100)*(Source!CT24/IF(Source!BA24&lt;&gt;0,Source!BA24,1)*Source!I24))+((Source!CS24/IF(Source!BS24&lt;&gt;0,Source!BS24,1)*Source!I24)*1.75)),0)</f>
        <v>0</v>
      </c>
      <c r="R48">
        <f>IF(Source!BI24=4,((Source!CT24/IF(Source!BA24&lt;&gt;0,Source!BA24,1)*Source!I24)+(Source!CR24/IF(Source!BB24&lt;&gt;0,Source!BB24,1)*Source!I24)+(Source!CQ24/IF(Source!BC24&lt;&gt;0,Source!BC24,1)*Source!I24)+((Source!DN24/100)*(Source!CT24/IF(Source!BA24&lt;&gt;0,Source!BA24,1)*Source!I24))+((Source!DO24/100)*(Source!CT24/IF(Source!BA24&lt;&gt;0,Source!BA24,1)*Source!I24))+((Source!CS24/IF(Source!BS24&lt;&gt;0,Source!BS24,1)*Source!I24)*1.75)),0)</f>
        <v>0</v>
      </c>
      <c r="U48">
        <f>IF(Source!BI24=1,Source!O24+Source!X24+Source!Y24+Source!R24*167/100,0)</f>
        <v>6751.6389</v>
      </c>
      <c r="V48">
        <f>IF(Source!BI24=2,Source!O24+Source!X24+Source!Y24+Source!R24*167/100,0)</f>
        <v>0</v>
      </c>
      <c r="W48">
        <f>IF(Source!BI24=3,Source!O24+Source!X24+Source!Y24+Source!R24*167/100,0)</f>
        <v>0</v>
      </c>
      <c r="X48">
        <f>IF(Source!BI24=4,Source!O24+Source!X24+Source!Y24+Source!R24*167/100,0)</f>
        <v>0</v>
      </c>
    </row>
    <row r="49" spans="1:25" ht="36">
      <c r="A49" s="25" t="str">
        <f>Source!E25</f>
        <v>2</v>
      </c>
      <c r="B49" s="25" t="str">
        <f>Source!F25</f>
        <v>6.62-31-1</v>
      </c>
      <c r="C49" s="10" t="str">
        <f>Source!G25</f>
        <v>РАСЧИСТКА ПОВЕРХНОСТЕЙ ОТ СТАРЫХ ПОКРАСОК (ШПАТЕЛЕМ, ЩЕТКАМИ И Т.Д.)</v>
      </c>
      <c r="D49" s="26" t="str">
        <f>Source!H25</f>
        <v>м2</v>
      </c>
      <c r="E49" s="6">
        <f>ROUND(Source!I25,6)</f>
        <v>30.7546</v>
      </c>
      <c r="F49" s="6"/>
      <c r="G49" s="6"/>
      <c r="H49" s="6"/>
      <c r="I49" s="6"/>
      <c r="J49" s="6"/>
      <c r="K49" s="6"/>
      <c r="Y49">
        <v>2</v>
      </c>
    </row>
    <row r="50" spans="1:11" ht="12.75">
      <c r="A50" s="6"/>
      <c r="B50" s="6"/>
      <c r="C50" s="6" t="s">
        <v>229</v>
      </c>
      <c r="D50" s="6"/>
      <c r="E50" s="6"/>
      <c r="F50" s="12">
        <f>Source!AO25</f>
        <v>6.13</v>
      </c>
      <c r="G50" s="27">
        <f>Source!DG25</f>
      </c>
      <c r="H50" s="6">
        <f>Source!AV25</f>
        <v>1</v>
      </c>
      <c r="I50" s="12">
        <f>(Source!CT25/IF(Source!BA25&lt;&gt;0,Source!BA25,1)*Source!I25)</f>
        <v>188.525698</v>
      </c>
      <c r="J50" s="6">
        <f>Source!BA25</f>
        <v>17.04</v>
      </c>
      <c r="K50" s="12">
        <f>Source!S25</f>
        <v>3212.48</v>
      </c>
    </row>
    <row r="51" spans="1:11" ht="12.75">
      <c r="A51" s="6"/>
      <c r="B51" s="6"/>
      <c r="C51" s="6" t="s">
        <v>232</v>
      </c>
      <c r="D51" s="6" t="s">
        <v>233</v>
      </c>
      <c r="E51" s="6">
        <f>Source!DN25</f>
        <v>100</v>
      </c>
      <c r="F51" s="6"/>
      <c r="G51" s="6"/>
      <c r="H51" s="6"/>
      <c r="I51" s="12">
        <f>(E51/100)*(Source!CT25/IF(Source!BA25&lt;&gt;0,Source!BA25,1)*Source!I25)</f>
        <v>188.525698</v>
      </c>
      <c r="J51" s="6">
        <f>Source!AT25</f>
        <v>85</v>
      </c>
      <c r="K51" s="12">
        <f>Source!X25</f>
        <v>2730.61</v>
      </c>
    </row>
    <row r="52" spans="1:11" ht="12.75">
      <c r="A52" s="6"/>
      <c r="B52" s="6"/>
      <c r="C52" s="6" t="s">
        <v>234</v>
      </c>
      <c r="D52" s="6" t="s">
        <v>233</v>
      </c>
      <c r="E52" s="6">
        <f>Source!DO25</f>
        <v>64</v>
      </c>
      <c r="F52" s="6"/>
      <c r="G52" s="6"/>
      <c r="H52" s="6"/>
      <c r="I52" s="12">
        <f>(E52/100)*(Source!CT25/IF(Source!BA25&lt;&gt;0,Source!BA25,1)*Source!I25)</f>
        <v>120.65644672</v>
      </c>
      <c r="J52" s="6">
        <f>Source!AU25</f>
        <v>44</v>
      </c>
      <c r="K52" s="12">
        <f>Source!Y25</f>
        <v>1413.49</v>
      </c>
    </row>
    <row r="53" spans="1:11" ht="12.75">
      <c r="A53" s="29"/>
      <c r="B53" s="29"/>
      <c r="C53" s="29" t="s">
        <v>236</v>
      </c>
      <c r="D53" s="29" t="s">
        <v>237</v>
      </c>
      <c r="E53" s="29">
        <f>Source!AQ25</f>
        <v>0.6</v>
      </c>
      <c r="F53" s="29"/>
      <c r="G53" s="30">
        <f>Source!DI25</f>
      </c>
      <c r="H53" s="29">
        <f>Source!AV25</f>
        <v>1</v>
      </c>
      <c r="I53" s="31">
        <f>ROUND(Source!U25,2)</f>
        <v>18.45</v>
      </c>
      <c r="J53" s="29"/>
      <c r="K53" s="29"/>
    </row>
    <row r="54" spans="9:24" ht="12.75">
      <c r="I54" s="32">
        <f>(Source!CT25/IF(Source!BA25&lt;&gt;0,Source!BA25,1)*Source!I25)+(Source!CR25/IF(Source!BB25&lt;&gt;0,Source!BB25,1)*Source!I25)+SUM(I51:I52)</f>
        <v>497.70784272000003</v>
      </c>
      <c r="J54" s="9"/>
      <c r="K54" s="32">
        <f>Source!S25+Source!Q25+SUM(K51:K52)</f>
        <v>7356.58</v>
      </c>
      <c r="L54">
        <f>(Source!CT25/IF(Source!BA25&lt;&gt;0,Source!BA25,1)*Source!I25)</f>
        <v>188.525698</v>
      </c>
      <c r="M54" s="13">
        <f>I54</f>
        <v>497.70784272000003</v>
      </c>
      <c r="O54">
        <f>IF(Source!BI25=1,((Source!CT25/IF(Source!BA25&lt;&gt;0,Source!BA25,1)*Source!I25)+(Source!CR25/IF(Source!BB25&lt;&gt;0,Source!BB25,1)*Source!I25)+(Source!CQ25/IF(Source!BC25&lt;&gt;0,Source!BC25,1)*Source!I25)+((Source!DN25/100)*(Source!CT25/IF(Source!BA25&lt;&gt;0,Source!BA25,1)*Source!I25))+((Source!DO25/100)*(Source!CT25/IF(Source!BA25&lt;&gt;0,Source!BA25,1)*Source!I25))+((Source!CS25/IF(Source!BS25&lt;&gt;0,Source!BS25,1)*Source!I25)*1.75)),0)</f>
        <v>497.70784272000003</v>
      </c>
      <c r="P54">
        <f>IF(Source!BI25=2,((Source!CT25/IF(Source!BA25&lt;&gt;0,Source!BA25,1)*Source!I25)+(Source!CR25/IF(Source!BB25&lt;&gt;0,Source!BB25,1)*Source!I25)+(Source!CQ25/IF(Source!BC25&lt;&gt;0,Source!BC25,1)*Source!I25)+((Source!DN25/100)*(Source!CT25/IF(Source!BA25&lt;&gt;0,Source!BA25,1)*Source!I25))+((Source!DO25/100)*(Source!CT25/IF(Source!BA25&lt;&gt;0,Source!BA25,1)*Source!I25))+((Source!CS25/IF(Source!BS25&lt;&gt;0,Source!BS25,1)*Source!I25)*1.75)),0)</f>
        <v>0</v>
      </c>
      <c r="Q54">
        <f>IF(Source!BI25=3,((Source!CT25/IF(Source!BA25&lt;&gt;0,Source!BA25,1)*Source!I25)+(Source!CR25/IF(Source!BB25&lt;&gt;0,Source!BB25,1)*Source!I25)+(Source!CQ25/IF(Source!BC25&lt;&gt;0,Source!BC25,1)*Source!I25)+((Source!DN25/100)*(Source!CT25/IF(Source!BA25&lt;&gt;0,Source!BA25,1)*Source!I25))+((Source!DO25/100)*(Source!CT25/IF(Source!BA25&lt;&gt;0,Source!BA25,1)*Source!I25))+((Source!CS25/IF(Source!BS25&lt;&gt;0,Source!BS25,1)*Source!I25)*1.75)),0)</f>
        <v>0</v>
      </c>
      <c r="R54">
        <f>IF(Source!BI25=4,((Source!CT25/IF(Source!BA25&lt;&gt;0,Source!BA25,1)*Source!I25)+(Source!CR25/IF(Source!BB25&lt;&gt;0,Source!BB25,1)*Source!I25)+(Source!CQ25/IF(Source!BC25&lt;&gt;0,Source!BC25,1)*Source!I25)+((Source!DN25/100)*(Source!CT25/IF(Source!BA25&lt;&gt;0,Source!BA25,1)*Source!I25))+((Source!DO25/100)*(Source!CT25/IF(Source!BA25&lt;&gt;0,Source!BA25,1)*Source!I25))+((Source!CS25/IF(Source!BS25&lt;&gt;0,Source!BS25,1)*Source!I25)*1.75)),0)</f>
        <v>0</v>
      </c>
      <c r="U54">
        <f>IF(Source!BI25=1,Source!O25+Source!X25+Source!Y25+Source!R25*167/100,0)</f>
        <v>7356.58</v>
      </c>
      <c r="V54">
        <f>IF(Source!BI25=2,Source!O25+Source!X25+Source!Y25+Source!R25*167/100,0)</f>
        <v>0</v>
      </c>
      <c r="W54">
        <f>IF(Source!BI25=3,Source!O25+Source!X25+Source!Y25+Source!R25*167/100,0)</f>
        <v>0</v>
      </c>
      <c r="X54">
        <f>IF(Source!BI25=4,Source!O25+Source!X25+Source!Y25+Source!R25*167/100,0)</f>
        <v>0</v>
      </c>
    </row>
    <row r="55" spans="1:25" ht="36">
      <c r="A55" s="25" t="str">
        <f>Source!E26</f>
        <v>3</v>
      </c>
      <c r="B55" s="25" t="str">
        <f>Source!F26</f>
        <v>3.9-61-1</v>
      </c>
      <c r="C55" s="10" t="str">
        <f>Source!G26</f>
        <v>ИЗГОТОВЛЕНИЕ РЕШЕТЧАТЫХ КОНСТРУКЦИЙ (СТОЙКИ, ОПОРЫ, ФЕРМЫ И ПР.)</v>
      </c>
      <c r="D55" s="26" t="str">
        <f>Source!H26</f>
        <v>т</v>
      </c>
      <c r="E55" s="6">
        <f>ROUND(Source!I26,6)</f>
        <v>2.845932</v>
      </c>
      <c r="F55" s="6"/>
      <c r="G55" s="6"/>
      <c r="H55" s="6"/>
      <c r="I55" s="6"/>
      <c r="J55" s="6"/>
      <c r="K55" s="6"/>
      <c r="Y55">
        <v>3</v>
      </c>
    </row>
    <row r="56" spans="1:11" ht="12.75">
      <c r="A56" s="6"/>
      <c r="B56" s="6"/>
      <c r="C56" s="6" t="s">
        <v>229</v>
      </c>
      <c r="D56" s="6"/>
      <c r="E56" s="6"/>
      <c r="F56" s="12">
        <f>Source!AO26</f>
        <v>1201.2</v>
      </c>
      <c r="G56" s="27" t="str">
        <f>Source!DG26</f>
        <v>)*1,15</v>
      </c>
      <c r="H56" s="6">
        <f>Source!AV26</f>
        <v>1</v>
      </c>
      <c r="I56" s="12">
        <f>(Source!CT26/IF(Source!BA26&lt;&gt;0,Source!BA26,1)*Source!I26)</f>
        <v>3931.3135461599995</v>
      </c>
      <c r="J56" s="6">
        <f>Source!BA26</f>
        <v>17.04</v>
      </c>
      <c r="K56" s="12">
        <f>Source!S26</f>
        <v>66989.58</v>
      </c>
    </row>
    <row r="57" spans="1:11" ht="12.75">
      <c r="A57" s="6"/>
      <c r="B57" s="6"/>
      <c r="C57" s="6" t="s">
        <v>230</v>
      </c>
      <c r="D57" s="6"/>
      <c r="E57" s="6"/>
      <c r="F57" s="12">
        <f>Source!AM26</f>
        <v>224.95</v>
      </c>
      <c r="G57" s="27" t="str">
        <f>Source!DE26</f>
        <v>)*1,25</v>
      </c>
      <c r="H57" s="6">
        <f>Source!AV26</f>
        <v>1</v>
      </c>
      <c r="I57" s="12">
        <f>(Source!CR26/IF(Source!BB26&lt;&gt;0,Source!BB26,1)*Source!I26)</f>
        <v>800.24050425</v>
      </c>
      <c r="J57" s="6">
        <f>Source!BB26</f>
        <v>6.28</v>
      </c>
      <c r="K57" s="12">
        <f>Source!Q26</f>
        <v>5025.51</v>
      </c>
    </row>
    <row r="58" spans="1:12" ht="12.75">
      <c r="A58" s="6"/>
      <c r="B58" s="6"/>
      <c r="C58" s="6" t="s">
        <v>231</v>
      </c>
      <c r="D58" s="6"/>
      <c r="E58" s="6"/>
      <c r="F58" s="12">
        <f>Source!AN26</f>
        <v>28.19</v>
      </c>
      <c r="G58" s="27" t="str">
        <f>Source!DF26</f>
        <v>)*1,25</v>
      </c>
      <c r="H58" s="6">
        <f>Source!AV26</f>
        <v>1</v>
      </c>
      <c r="I58" s="28" t="str">
        <f>CONCATENATE("(",TEXT(+(Source!CS26/IF(J58&lt;&gt;0,J58,1)*Source!I26),"0,00"),")")</f>
        <v>(100,28)</v>
      </c>
      <c r="J58" s="6">
        <f>Source!BS26</f>
        <v>17.04</v>
      </c>
      <c r="K58" s="28" t="str">
        <f>CONCATENATE("(",TEXT(+Source!R26,"0,00"),")")</f>
        <v>(1708,83)</v>
      </c>
      <c r="L58">
        <f>IF(J58&lt;&gt;0,Source!R26/J58,Source!R26)</f>
        <v>100.28345070422536</v>
      </c>
    </row>
    <row r="59" spans="1:11" ht="12.75">
      <c r="A59" s="6"/>
      <c r="B59" s="6"/>
      <c r="C59" s="6" t="s">
        <v>238</v>
      </c>
      <c r="D59" s="6"/>
      <c r="E59" s="6"/>
      <c r="F59" s="12">
        <f>Source!AL26</f>
        <v>154.62</v>
      </c>
      <c r="G59" s="6">
        <f>Source!DD26</f>
      </c>
      <c r="H59" s="6">
        <f>Source!AW26</f>
        <v>1</v>
      </c>
      <c r="I59" s="12">
        <f>(Source!CQ26/IF(Source!BC26&lt;&gt;0,Source!BC26,1)*Source!I26)</f>
        <v>440.03800584</v>
      </c>
      <c r="J59" s="6">
        <f>Source!BC26</f>
        <v>10.23</v>
      </c>
      <c r="K59" s="12">
        <f>Source!P26</f>
        <v>4501.59</v>
      </c>
    </row>
    <row r="60" spans="1:25" ht="60">
      <c r="A60" s="25" t="str">
        <f>Source!E27</f>
        <v>3,1</v>
      </c>
      <c r="B60" s="25" t="str">
        <f>Source!F27</f>
        <v>1.1-1-2282</v>
      </c>
      <c r="C60" s="10" t="str">
        <f>Source!G27</f>
        <v>ПРОФИЛИ СТАЛЬНЫЕ ЭЛЕКТРОСВАРНЫЕ КВАДРАТНОГО СЕЧЕНИЯ ТРУБЧАТЫЕ, РАЗМЕР СТОРОНЫ 50 ММ, ТОЛЩИНА СТЕНКИ 3 ММ</v>
      </c>
      <c r="D60" s="26" t="str">
        <f>Source!H27</f>
        <v>т</v>
      </c>
      <c r="E60" s="6">
        <f>ROUND(Source!I27,6)</f>
        <v>2.020942</v>
      </c>
      <c r="F60" s="12">
        <f>IF(Source!AL27=0,Source!AK27,Source!AL27)</f>
        <v>11666.85</v>
      </c>
      <c r="G60" s="27">
        <f>Source!DD27</f>
      </c>
      <c r="H60" s="6">
        <f>Source!AW27</f>
        <v>1</v>
      </c>
      <c r="I60" s="12">
        <f>(Source!CR27/IF(Source!BB27&lt;&gt;0,Source!BB27,1)*Source!I27)+(Source!CQ27/IF(Source!BC27&lt;&gt;0,Source!BC27,1)*Source!I27)+(Source!CT27/IF(Source!BA27&lt;&gt;0,Source!BA27,1)*Source!I27)</f>
        <v>23578.0271727</v>
      </c>
      <c r="J60" s="6">
        <f>Source!BC27</f>
        <v>2.06</v>
      </c>
      <c r="K60" s="12">
        <f>Source!O27</f>
        <v>48570.74</v>
      </c>
      <c r="O60">
        <f>IF(Source!BI27=1,((Source!CR27/IF(Source!BB27&lt;&gt;0,Source!BB27,1)*Source!I27)+(Source!CQ27/IF(Source!BC27&lt;&gt;0,Source!BC27,1)*Source!I27)+(Source!CT27/IF(Source!BA27&lt;&gt;0,Source!BA27,1)*Source!I27)),0)</f>
        <v>23578.0271727</v>
      </c>
      <c r="P60">
        <f>IF(Source!BI27=2,((Source!CR27/IF(Source!BB27&lt;&gt;0,Source!BB27,1)*Source!I27)+(Source!CQ27/IF(Source!BC27&lt;&gt;0,Source!BC27,1)*Source!I27)+(Source!CT27/IF(Source!BA27&lt;&gt;0,Source!BA27,1)*Source!I27)),0)</f>
        <v>0</v>
      </c>
      <c r="Q60">
        <f>IF(Source!BI27=3,((Source!CR27/IF(Source!BB27&lt;&gt;0,Source!BB27,1)*Source!I27)+(Source!CQ27/IF(Source!BC27&lt;&gt;0,Source!BC27,1)*Source!I27)+(Source!CT27/IF(Source!BA27&lt;&gt;0,Source!BA27,1)*Source!I27)),0)</f>
        <v>0</v>
      </c>
      <c r="R60">
        <f>IF(Source!BI27=4,((Source!CR27/IF(Source!BB27&lt;&gt;0,Source!BB27,1)*Source!I27)+(Source!CQ27/IF(Source!BC27&lt;&gt;0,Source!BC27,1)*Source!I27)+(Source!CT27/IF(Source!BA27&lt;&gt;0,Source!BA27,1)*Source!I27)),0)</f>
        <v>0</v>
      </c>
      <c r="U60">
        <f>IF(Source!BI27=1,Source!O27+Source!X27+Source!Y27,0)</f>
        <v>48570.74</v>
      </c>
      <c r="V60">
        <f>IF(Source!BI27=2,Source!O27+Source!X27+Source!Y27,0)</f>
        <v>0</v>
      </c>
      <c r="W60">
        <f>IF(Source!BI27=3,Source!O27+Source!X27+Source!Y27,0)</f>
        <v>0</v>
      </c>
      <c r="X60">
        <f>IF(Source!BI27=4,Source!O27+Source!X27+Source!Y27,0)</f>
        <v>0</v>
      </c>
      <c r="Y60">
        <v>4</v>
      </c>
    </row>
    <row r="61" spans="1:25" ht="60">
      <c r="A61" s="25" t="str">
        <f>Source!E28</f>
        <v>3,2</v>
      </c>
      <c r="B61" s="25" t="str">
        <f>Source!F28</f>
        <v>1.1-1-2355</v>
      </c>
      <c r="C61" s="10" t="str">
        <f>Source!G28</f>
        <v>ПРОФИЛИ СТАЛЬНЫЕ ЭЛЕКТРОСВАРНЫЕ ПРЯМОУГОЛЬНОГО СЕЧЕНИЯ ТРУБЧАТЫЕ, РАЗМЕР 40Х80 ММ, ТОЛЩИНА СТЕНКИ 3,0 ММ</v>
      </c>
      <c r="D61" s="26" t="str">
        <f>Source!H28</f>
        <v>т</v>
      </c>
      <c r="E61" s="6">
        <f>ROUND(Source!I28,6)</f>
        <v>0.611838</v>
      </c>
      <c r="F61" s="12">
        <f>IF(Source!AL28=0,Source!AK28,Source!AL28)</f>
        <v>11604.4</v>
      </c>
      <c r="G61" s="27">
        <f>Source!DD28</f>
      </c>
      <c r="H61" s="6">
        <f>Source!AW28</f>
        <v>1</v>
      </c>
      <c r="I61" s="12">
        <f>(Source!CR28/IF(Source!BB28&lt;&gt;0,Source!BB28,1)*Source!I28)+(Source!CQ28/IF(Source!BC28&lt;&gt;0,Source!BC28,1)*Source!I28)+(Source!CT28/IF(Source!BA28&lt;&gt;0,Source!BA28,1)*Source!I28)</f>
        <v>7100.0128872</v>
      </c>
      <c r="J61" s="6">
        <f>Source!BC28</f>
        <v>2.08</v>
      </c>
      <c r="K61" s="12">
        <f>Source!O28</f>
        <v>14768.03</v>
      </c>
      <c r="O61">
        <f>IF(Source!BI28=1,((Source!CR28/IF(Source!BB28&lt;&gt;0,Source!BB28,1)*Source!I28)+(Source!CQ28/IF(Source!BC28&lt;&gt;0,Source!BC28,1)*Source!I28)+(Source!CT28/IF(Source!BA28&lt;&gt;0,Source!BA28,1)*Source!I28)),0)</f>
        <v>7100.0128872</v>
      </c>
      <c r="P61">
        <f>IF(Source!BI28=2,((Source!CR28/IF(Source!BB28&lt;&gt;0,Source!BB28,1)*Source!I28)+(Source!CQ28/IF(Source!BC28&lt;&gt;0,Source!BC28,1)*Source!I28)+(Source!CT28/IF(Source!BA28&lt;&gt;0,Source!BA28,1)*Source!I28)),0)</f>
        <v>0</v>
      </c>
      <c r="Q61">
        <f>IF(Source!BI28=3,((Source!CR28/IF(Source!BB28&lt;&gt;0,Source!BB28,1)*Source!I28)+(Source!CQ28/IF(Source!BC28&lt;&gt;0,Source!BC28,1)*Source!I28)+(Source!CT28/IF(Source!BA28&lt;&gt;0,Source!BA28,1)*Source!I28)),0)</f>
        <v>0</v>
      </c>
      <c r="R61">
        <f>IF(Source!BI28=4,((Source!CR28/IF(Source!BB28&lt;&gt;0,Source!BB28,1)*Source!I28)+(Source!CQ28/IF(Source!BC28&lt;&gt;0,Source!BC28,1)*Source!I28)+(Source!CT28/IF(Source!BA28&lt;&gt;0,Source!BA28,1)*Source!I28)),0)</f>
        <v>0</v>
      </c>
      <c r="U61">
        <f>IF(Source!BI28=1,Source!O28+Source!X28+Source!Y28,0)</f>
        <v>14768.03</v>
      </c>
      <c r="V61">
        <f>IF(Source!BI28=2,Source!O28+Source!X28+Source!Y28,0)</f>
        <v>0</v>
      </c>
      <c r="W61">
        <f>IF(Source!BI28=3,Source!O28+Source!X28+Source!Y28,0)</f>
        <v>0</v>
      </c>
      <c r="X61">
        <f>IF(Source!BI28=4,Source!O28+Source!X28+Source!Y28,0)</f>
        <v>0</v>
      </c>
      <c r="Y61">
        <v>5</v>
      </c>
    </row>
    <row r="62" spans="1:25" ht="60">
      <c r="A62" s="25" t="str">
        <f>Source!E29</f>
        <v>3,3</v>
      </c>
      <c r="B62" s="25" t="str">
        <f>Source!F29</f>
        <v>1.1-1-2320</v>
      </c>
      <c r="C62" s="10" t="str">
        <f>Source!G29</f>
        <v>ПРОФИЛИ СТАЛЬНЫЕ ЭЛЕКТРОСВАРНЫЕ ПРЯМОУГОЛЬНОГО СЕЧЕНИЯ ТРУБЧАТЫЕ, РАЗМЕР 25Х50 ММ, ТОЛЩИНА СТЕНКИ 2,0 ММ</v>
      </c>
      <c r="D62" s="26" t="str">
        <f>Source!H29</f>
        <v>т</v>
      </c>
      <c r="E62" s="6">
        <f>ROUND(Source!I29,6)</f>
        <v>0.31081</v>
      </c>
      <c r="F62" s="12">
        <f>IF(Source!AL29=0,Source!AK29,Source!AL29)</f>
        <v>11966.52</v>
      </c>
      <c r="G62" s="27">
        <f>Source!DD29</f>
      </c>
      <c r="H62" s="6">
        <f>Source!AW29</f>
        <v>1</v>
      </c>
      <c r="I62" s="12">
        <f>(Source!CR29/IF(Source!BB29&lt;&gt;0,Source!BB29,1)*Source!I29)+(Source!CQ29/IF(Source!BC29&lt;&gt;0,Source!BC29,1)*Source!I29)+(Source!CT29/IF(Source!BA29&lt;&gt;0,Source!BA29,1)*Source!I29)</f>
        <v>3719.3140811999997</v>
      </c>
      <c r="J62" s="6">
        <f>Source!BC29</f>
        <v>2.07</v>
      </c>
      <c r="K62" s="12">
        <f>Source!O29</f>
        <v>7698.98</v>
      </c>
      <c r="O62">
        <f>IF(Source!BI29=1,((Source!CR29/IF(Source!BB29&lt;&gt;0,Source!BB29,1)*Source!I29)+(Source!CQ29/IF(Source!BC29&lt;&gt;0,Source!BC29,1)*Source!I29)+(Source!CT29/IF(Source!BA29&lt;&gt;0,Source!BA29,1)*Source!I29)),0)</f>
        <v>3719.3140811999997</v>
      </c>
      <c r="P62">
        <f>IF(Source!BI29=2,((Source!CR29/IF(Source!BB29&lt;&gt;0,Source!BB29,1)*Source!I29)+(Source!CQ29/IF(Source!BC29&lt;&gt;0,Source!BC29,1)*Source!I29)+(Source!CT29/IF(Source!BA29&lt;&gt;0,Source!BA29,1)*Source!I29)),0)</f>
        <v>0</v>
      </c>
      <c r="Q62">
        <f>IF(Source!BI29=3,((Source!CR29/IF(Source!BB29&lt;&gt;0,Source!BB29,1)*Source!I29)+(Source!CQ29/IF(Source!BC29&lt;&gt;0,Source!BC29,1)*Source!I29)+(Source!CT29/IF(Source!BA29&lt;&gt;0,Source!BA29,1)*Source!I29)),0)</f>
        <v>0</v>
      </c>
      <c r="R62">
        <f>IF(Source!BI29=4,((Source!CR29/IF(Source!BB29&lt;&gt;0,Source!BB29,1)*Source!I29)+(Source!CQ29/IF(Source!BC29&lt;&gt;0,Source!BC29,1)*Source!I29)+(Source!CT29/IF(Source!BA29&lt;&gt;0,Source!BA29,1)*Source!I29)),0)</f>
        <v>0</v>
      </c>
      <c r="U62">
        <f>IF(Source!BI29=1,Source!O29+Source!X29+Source!Y29,0)</f>
        <v>7698.98</v>
      </c>
      <c r="V62">
        <f>IF(Source!BI29=2,Source!O29+Source!X29+Source!Y29,0)</f>
        <v>0</v>
      </c>
      <c r="W62">
        <f>IF(Source!BI29=3,Source!O29+Source!X29+Source!Y29,0)</f>
        <v>0</v>
      </c>
      <c r="X62">
        <f>IF(Source!BI29=4,Source!O29+Source!X29+Source!Y29,0)</f>
        <v>0</v>
      </c>
      <c r="Y62">
        <v>6</v>
      </c>
    </row>
    <row r="63" spans="1:11" ht="12.75">
      <c r="A63" s="6"/>
      <c r="B63" s="6"/>
      <c r="C63" s="6" t="s">
        <v>232</v>
      </c>
      <c r="D63" s="6" t="s">
        <v>233</v>
      </c>
      <c r="E63" s="6">
        <f>Source!DN26</f>
        <v>85</v>
      </c>
      <c r="F63" s="6"/>
      <c r="G63" s="6"/>
      <c r="H63" s="6"/>
      <c r="I63" s="12">
        <f>(E63/100)*(Source!CT26/IF(Source!BA26&lt;&gt;0,Source!BA26,1)*Source!I26)</f>
        <v>3341.6165142359996</v>
      </c>
      <c r="J63" s="6">
        <f>Source!AT26</f>
        <v>72</v>
      </c>
      <c r="K63" s="12">
        <f>Source!X26</f>
        <v>48232.5</v>
      </c>
    </row>
    <row r="64" spans="1:11" ht="12.75">
      <c r="A64" s="6"/>
      <c r="B64" s="6"/>
      <c r="C64" s="6" t="s">
        <v>234</v>
      </c>
      <c r="D64" s="6" t="s">
        <v>233</v>
      </c>
      <c r="E64" s="6">
        <f>Source!DO26</f>
        <v>70</v>
      </c>
      <c r="F64" s="6"/>
      <c r="G64" s="6"/>
      <c r="H64" s="6"/>
      <c r="I64" s="12">
        <f>(E64/100)*(Source!CT26/IF(Source!BA26&lt;&gt;0,Source!BA26,1)*Source!I26)</f>
        <v>2751.9194823119997</v>
      </c>
      <c r="J64" s="6">
        <f>Source!AU26</f>
        <v>44</v>
      </c>
      <c r="K64" s="12">
        <f>Source!Y26</f>
        <v>29475.42</v>
      </c>
    </row>
    <row r="65" spans="1:11" ht="12.75">
      <c r="A65" s="6"/>
      <c r="B65" s="6"/>
      <c r="C65" s="6" t="s">
        <v>235</v>
      </c>
      <c r="D65" s="6" t="s">
        <v>233</v>
      </c>
      <c r="E65" s="6">
        <v>175</v>
      </c>
      <c r="F65" s="6"/>
      <c r="G65" s="6"/>
      <c r="H65" s="6"/>
      <c r="I65" s="12">
        <f>(Source!CS26/IF(Source!BS26&lt;&gt;0,Source!BS26,1)*Source!I26)*1.75</f>
        <v>175.4961754875</v>
      </c>
      <c r="J65" s="6">
        <v>167</v>
      </c>
      <c r="K65" s="12">
        <f>Source!R26*J65/100</f>
        <v>2853.7461</v>
      </c>
    </row>
    <row r="66" spans="1:11" ht="12.75">
      <c r="A66" s="29"/>
      <c r="B66" s="29"/>
      <c r="C66" s="29" t="s">
        <v>236</v>
      </c>
      <c r="D66" s="29" t="s">
        <v>237</v>
      </c>
      <c r="E66" s="29">
        <f>Source!AQ26</f>
        <v>91</v>
      </c>
      <c r="F66" s="29"/>
      <c r="G66" s="30" t="str">
        <f>Source!DI26</f>
        <v>)*1,15</v>
      </c>
      <c r="H66" s="29">
        <f>Source!AV26</f>
        <v>1</v>
      </c>
      <c r="I66" s="31">
        <f>ROUND(Source!U26,2)</f>
        <v>297.83</v>
      </c>
      <c r="J66" s="29"/>
      <c r="K66" s="29"/>
    </row>
    <row r="67" spans="9:24" ht="12.75">
      <c r="I67" s="32">
        <f>(Source!CT26/IF(Source!BA26&lt;&gt;0,Source!BA26,1)*Source!I26)+(Source!CR26/IF(Source!BB26&lt;&gt;0,Source!BB26,1)*Source!I26)+SUM(I59:I65)</f>
        <v>45837.97836938549</v>
      </c>
      <c r="J67" s="9"/>
      <c r="K67" s="32">
        <f>Source!S26+Source!Q26+SUM(K59:K65)</f>
        <v>228116.0961</v>
      </c>
      <c r="L67">
        <f>(Source!CT26/IF(Source!BA26&lt;&gt;0,Source!BA26,1)*Source!I26)</f>
        <v>3931.3135461599995</v>
      </c>
      <c r="M67" s="13">
        <f>I67</f>
        <v>45837.97836938549</v>
      </c>
      <c r="O67">
        <f>IF(Source!BI26=1,((Source!CT26/IF(Source!BA26&lt;&gt;0,Source!BA26,1)*Source!I26)+(Source!CR26/IF(Source!BB26&lt;&gt;0,Source!BB26,1)*Source!I26)+(Source!CQ26/IF(Source!BC26&lt;&gt;0,Source!BC26,1)*Source!I26)+((Source!DN26/100)*(Source!CT26/IF(Source!BA26&lt;&gt;0,Source!BA26,1)*Source!I26))+((Source!DO26/100)*(Source!CT26/IF(Source!BA26&lt;&gt;0,Source!BA26,1)*Source!I26))+((Source!CS26/IF(Source!BS26&lt;&gt;0,Source!BS26,1)*Source!I26)*1.75)),0)</f>
        <v>11440.624228285498</v>
      </c>
      <c r="P67">
        <f>IF(Source!BI26=2,((Source!CT26/IF(Source!BA26&lt;&gt;0,Source!BA26,1)*Source!I26)+(Source!CR26/IF(Source!BB26&lt;&gt;0,Source!BB26,1)*Source!I26)+(Source!CQ26/IF(Source!BC26&lt;&gt;0,Source!BC26,1)*Source!I26)+((Source!DN26/100)*(Source!CT26/IF(Source!BA26&lt;&gt;0,Source!BA26,1)*Source!I26))+((Source!DO26/100)*(Source!CT26/IF(Source!BA26&lt;&gt;0,Source!BA26,1)*Source!I26))+((Source!CS26/IF(Source!BS26&lt;&gt;0,Source!BS26,1)*Source!I26)*1.75)),0)</f>
        <v>0</v>
      </c>
      <c r="Q67">
        <f>IF(Source!BI26=3,((Source!CT26/IF(Source!BA26&lt;&gt;0,Source!BA26,1)*Source!I26)+(Source!CR26/IF(Source!BB26&lt;&gt;0,Source!BB26,1)*Source!I26)+(Source!CQ26/IF(Source!BC26&lt;&gt;0,Source!BC26,1)*Source!I26)+((Source!DN26/100)*(Source!CT26/IF(Source!BA26&lt;&gt;0,Source!BA26,1)*Source!I26))+((Source!DO26/100)*(Source!CT26/IF(Source!BA26&lt;&gt;0,Source!BA26,1)*Source!I26))+((Source!CS26/IF(Source!BS26&lt;&gt;0,Source!BS26,1)*Source!I26)*1.75)),0)</f>
        <v>0</v>
      </c>
      <c r="R67">
        <f>IF(Source!BI26=4,((Source!CT26/IF(Source!BA26&lt;&gt;0,Source!BA26,1)*Source!I26)+(Source!CR26/IF(Source!BB26&lt;&gt;0,Source!BB26,1)*Source!I26)+(Source!CQ26/IF(Source!BC26&lt;&gt;0,Source!BC26,1)*Source!I26)+((Source!DN26/100)*(Source!CT26/IF(Source!BA26&lt;&gt;0,Source!BA26,1)*Source!I26))+((Source!DO26/100)*(Source!CT26/IF(Source!BA26&lt;&gt;0,Source!BA26,1)*Source!I26))+((Source!CS26/IF(Source!BS26&lt;&gt;0,Source!BS26,1)*Source!I26)*1.75)),0)</f>
        <v>0</v>
      </c>
      <c r="U67">
        <f>IF(Source!BI26=1,Source!O26+Source!X26+Source!Y26+Source!R26*167/100,0)</f>
        <v>157078.34609999997</v>
      </c>
      <c r="V67">
        <f>IF(Source!BI26=2,Source!O26+Source!X26+Source!Y26+Source!R26*167/100,0)</f>
        <v>0</v>
      </c>
      <c r="W67">
        <f>IF(Source!BI26=3,Source!O26+Source!X26+Source!Y26+Source!R26*167/100,0)</f>
        <v>0</v>
      </c>
      <c r="X67">
        <f>IF(Source!BI26=4,Source!O26+Source!X26+Source!Y26+Source!R26*167/100,0)</f>
        <v>0</v>
      </c>
    </row>
    <row r="68" spans="1:25" ht="72">
      <c r="A68" s="25" t="str">
        <f>Source!E30</f>
        <v>4</v>
      </c>
      <c r="B68" s="25" t="str">
        <f>Source!F30</f>
        <v>3.9-18-1</v>
      </c>
      <c r="C68" s="10" t="str">
        <f>Source!G30</f>
        <v>МОНТАЖ СВЯЗЕЙ И РАСПОРОК ИЗ ОДИНОЧНЫХ И ПАРНЫХ УГОЛКОВ, ГНУТОСВАРНЫХ ПРОФИЛЕЙ ДЛЯ ПРОЛЕТОВ, ДО 24 М ПРИ ВЫСОТЕ ЗДАНИЯ, ДО: 25 М</v>
      </c>
      <c r="D68" s="26" t="str">
        <f>Source!H30</f>
        <v>т</v>
      </c>
      <c r="E68" s="6">
        <f>ROUND(Source!I30,6)</f>
        <v>2.845932</v>
      </c>
      <c r="F68" s="6"/>
      <c r="G68" s="6"/>
      <c r="H68" s="6"/>
      <c r="I68" s="6"/>
      <c r="J68" s="6"/>
      <c r="K68" s="6"/>
      <c r="Y68">
        <v>7</v>
      </c>
    </row>
    <row r="69" spans="1:11" ht="12.75">
      <c r="A69" s="6"/>
      <c r="B69" s="6"/>
      <c r="C69" s="6" t="s">
        <v>229</v>
      </c>
      <c r="D69" s="6"/>
      <c r="E69" s="6"/>
      <c r="F69" s="12">
        <f>Source!AO30</f>
        <v>522.06</v>
      </c>
      <c r="G69" s="27" t="str">
        <f>Source!DG30</f>
        <v>)*1,15</v>
      </c>
      <c r="H69" s="6">
        <f>Source!AV30</f>
        <v>1</v>
      </c>
      <c r="I69" s="12">
        <f>(Source!CT30/IF(Source!BA30&lt;&gt;0,Source!BA30,1)*Source!I30)</f>
        <v>1708.6093489079997</v>
      </c>
      <c r="J69" s="6">
        <f>Source!BA30</f>
        <v>17.04</v>
      </c>
      <c r="K69" s="12">
        <f>Source!S30</f>
        <v>29114.7</v>
      </c>
    </row>
    <row r="70" spans="1:11" ht="12.75">
      <c r="A70" s="6"/>
      <c r="B70" s="6"/>
      <c r="C70" s="6" t="s">
        <v>230</v>
      </c>
      <c r="D70" s="6"/>
      <c r="E70" s="6"/>
      <c r="F70" s="12">
        <f>Source!AM30</f>
        <v>37.45</v>
      </c>
      <c r="G70" s="27" t="str">
        <f>Source!DE30</f>
        <v>)*1,25</v>
      </c>
      <c r="H70" s="6">
        <f>Source!AV30</f>
        <v>1</v>
      </c>
      <c r="I70" s="12">
        <f>(Source!CR30/IF(Source!BB30&lt;&gt;0,Source!BB30,1)*Source!I30)</f>
        <v>133.22519175</v>
      </c>
      <c r="J70" s="6">
        <f>Source!BB30</f>
        <v>8.93</v>
      </c>
      <c r="K70" s="12">
        <f>Source!Q30</f>
        <v>1189.7</v>
      </c>
    </row>
    <row r="71" spans="1:12" ht="12.75">
      <c r="A71" s="6"/>
      <c r="B71" s="6"/>
      <c r="C71" s="6" t="s">
        <v>231</v>
      </c>
      <c r="D71" s="6"/>
      <c r="E71" s="6"/>
      <c r="F71" s="12">
        <f>Source!AN30</f>
        <v>8.85</v>
      </c>
      <c r="G71" s="27" t="str">
        <f>Source!DF30</f>
        <v>)*1,25</v>
      </c>
      <c r="H71" s="6">
        <f>Source!AV30</f>
        <v>1</v>
      </c>
      <c r="I71" s="28" t="str">
        <f>CONCATENATE("(",TEXT(+(Source!CS30/IF(J71&lt;&gt;0,J71,1)*Source!I30),"0,00"),")")</f>
        <v>(31,48)</v>
      </c>
      <c r="J71" s="6">
        <f>Source!BS30</f>
        <v>17.04</v>
      </c>
      <c r="K71" s="28" t="str">
        <f>CONCATENATE("(",TEXT(+Source!R30,"0,00"),")")</f>
        <v>(536,47)</v>
      </c>
      <c r="L71">
        <f>IF(J71&lt;&gt;0,Source!R30/J71,Source!R30)</f>
        <v>31.48298122065728</v>
      </c>
    </row>
    <row r="72" spans="1:11" ht="12.75">
      <c r="A72" s="6"/>
      <c r="B72" s="6"/>
      <c r="C72" s="6" t="s">
        <v>238</v>
      </c>
      <c r="D72" s="6"/>
      <c r="E72" s="6"/>
      <c r="F72" s="12">
        <f>Source!AL30</f>
        <v>42.01</v>
      </c>
      <c r="G72" s="6">
        <f>Source!DD30</f>
      </c>
      <c r="H72" s="6">
        <f>Source!AW30</f>
        <v>1</v>
      </c>
      <c r="I72" s="12">
        <f>(Source!CQ30/IF(Source!BC30&lt;&gt;0,Source!BC30,1)*Source!I30)</f>
        <v>119.55760331999998</v>
      </c>
      <c r="J72" s="6">
        <f>Source!BC30</f>
        <v>4.83</v>
      </c>
      <c r="K72" s="12">
        <f>Source!P30</f>
        <v>577.46</v>
      </c>
    </row>
    <row r="73" spans="1:11" ht="12.75">
      <c r="A73" s="6"/>
      <c r="B73" s="6"/>
      <c r="C73" s="6" t="s">
        <v>232</v>
      </c>
      <c r="D73" s="6" t="s">
        <v>233</v>
      </c>
      <c r="E73" s="6">
        <f>Source!DN30</f>
        <v>85</v>
      </c>
      <c r="F73" s="6"/>
      <c r="G73" s="6"/>
      <c r="H73" s="6"/>
      <c r="I73" s="12">
        <f>(E73/100)*(Source!CT30/IF(Source!BA30&lt;&gt;0,Source!BA30,1)*Source!I30)</f>
        <v>1452.3179465717997</v>
      </c>
      <c r="J73" s="6">
        <f>Source!AT30</f>
        <v>72</v>
      </c>
      <c r="K73" s="12">
        <f>Source!X30</f>
        <v>20962.58</v>
      </c>
    </row>
    <row r="74" spans="1:11" ht="12.75">
      <c r="A74" s="6"/>
      <c r="B74" s="6"/>
      <c r="C74" s="6" t="s">
        <v>234</v>
      </c>
      <c r="D74" s="6" t="s">
        <v>233</v>
      </c>
      <c r="E74" s="6">
        <f>Source!DO30</f>
        <v>70</v>
      </c>
      <c r="F74" s="6"/>
      <c r="G74" s="6"/>
      <c r="H74" s="6"/>
      <c r="I74" s="12">
        <f>(E74/100)*(Source!CT30/IF(Source!BA30&lt;&gt;0,Source!BA30,1)*Source!I30)</f>
        <v>1196.0265442355997</v>
      </c>
      <c r="J74" s="6">
        <f>Source!AU30</f>
        <v>44</v>
      </c>
      <c r="K74" s="12">
        <f>Source!Y30</f>
        <v>12810.47</v>
      </c>
    </row>
    <row r="75" spans="1:11" ht="12.75">
      <c r="A75" s="6"/>
      <c r="B75" s="6"/>
      <c r="C75" s="6" t="s">
        <v>235</v>
      </c>
      <c r="D75" s="6" t="s">
        <v>233</v>
      </c>
      <c r="E75" s="6">
        <v>175</v>
      </c>
      <c r="F75" s="6"/>
      <c r="G75" s="6"/>
      <c r="H75" s="6"/>
      <c r="I75" s="12">
        <f>(Source!CS30/IF(Source!BS30&lt;&gt;0,Source!BS30,1)*Source!I30)*1.75</f>
        <v>55.0954648125</v>
      </c>
      <c r="J75" s="6">
        <v>167</v>
      </c>
      <c r="K75" s="12">
        <f>Source!R30*J75/100</f>
        <v>895.9049</v>
      </c>
    </row>
    <row r="76" spans="1:11" ht="12.75">
      <c r="A76" s="29"/>
      <c r="B76" s="29"/>
      <c r="C76" s="29" t="s">
        <v>236</v>
      </c>
      <c r="D76" s="29" t="s">
        <v>237</v>
      </c>
      <c r="E76" s="29">
        <f>Source!AQ30</f>
        <v>39.55</v>
      </c>
      <c r="F76" s="29"/>
      <c r="G76" s="30" t="str">
        <f>Source!DI30</f>
        <v>)*1,15</v>
      </c>
      <c r="H76" s="29">
        <f>Source!AV30</f>
        <v>1</v>
      </c>
      <c r="I76" s="31">
        <f>ROUND(Source!U30,2)</f>
        <v>129.44</v>
      </c>
      <c r="J76" s="29"/>
      <c r="K76" s="29"/>
    </row>
    <row r="77" spans="9:24" ht="12.75">
      <c r="I77" s="32">
        <f>(Source!CT30/IF(Source!BA30&lt;&gt;0,Source!BA30,1)*Source!I30)+(Source!CR30/IF(Source!BB30&lt;&gt;0,Source!BB30,1)*Source!I30)+SUM(I72:I75)</f>
        <v>4664.832099597899</v>
      </c>
      <c r="J77" s="9"/>
      <c r="K77" s="32">
        <f>Source!S30+Source!Q30+SUM(K72:K75)</f>
        <v>65550.8149</v>
      </c>
      <c r="L77">
        <f>(Source!CT30/IF(Source!BA30&lt;&gt;0,Source!BA30,1)*Source!I30)</f>
        <v>1708.6093489079997</v>
      </c>
      <c r="M77" s="13">
        <f>I77</f>
        <v>4664.832099597899</v>
      </c>
      <c r="O77">
        <f>IF(Source!BI30=1,((Source!CT30/IF(Source!BA30&lt;&gt;0,Source!BA30,1)*Source!I30)+(Source!CR30/IF(Source!BB30&lt;&gt;0,Source!BB30,1)*Source!I30)+(Source!CQ30/IF(Source!BC30&lt;&gt;0,Source!BC30,1)*Source!I30)+((Source!DN30/100)*(Source!CT30/IF(Source!BA30&lt;&gt;0,Source!BA30,1)*Source!I30))+((Source!DO30/100)*(Source!CT30/IF(Source!BA30&lt;&gt;0,Source!BA30,1)*Source!I30))+((Source!CS30/IF(Source!BS30&lt;&gt;0,Source!BS30,1)*Source!I30)*1.75)),0)</f>
        <v>4664.832099597898</v>
      </c>
      <c r="P77">
        <f>IF(Source!BI30=2,((Source!CT30/IF(Source!BA30&lt;&gt;0,Source!BA30,1)*Source!I30)+(Source!CR30/IF(Source!BB30&lt;&gt;0,Source!BB30,1)*Source!I30)+(Source!CQ30/IF(Source!BC30&lt;&gt;0,Source!BC30,1)*Source!I30)+((Source!DN30/100)*(Source!CT30/IF(Source!BA30&lt;&gt;0,Source!BA30,1)*Source!I30))+((Source!DO30/100)*(Source!CT30/IF(Source!BA30&lt;&gt;0,Source!BA30,1)*Source!I30))+((Source!CS30/IF(Source!BS30&lt;&gt;0,Source!BS30,1)*Source!I30)*1.75)),0)</f>
        <v>0</v>
      </c>
      <c r="Q77">
        <f>IF(Source!BI30=3,((Source!CT30/IF(Source!BA30&lt;&gt;0,Source!BA30,1)*Source!I30)+(Source!CR30/IF(Source!BB30&lt;&gt;0,Source!BB30,1)*Source!I30)+(Source!CQ30/IF(Source!BC30&lt;&gt;0,Source!BC30,1)*Source!I30)+((Source!DN30/100)*(Source!CT30/IF(Source!BA30&lt;&gt;0,Source!BA30,1)*Source!I30))+((Source!DO30/100)*(Source!CT30/IF(Source!BA30&lt;&gt;0,Source!BA30,1)*Source!I30))+((Source!CS30/IF(Source!BS30&lt;&gt;0,Source!BS30,1)*Source!I30)*1.75)),0)</f>
        <v>0</v>
      </c>
      <c r="R77">
        <f>IF(Source!BI30=4,((Source!CT30/IF(Source!BA30&lt;&gt;0,Source!BA30,1)*Source!I30)+(Source!CR30/IF(Source!BB30&lt;&gt;0,Source!BB30,1)*Source!I30)+(Source!CQ30/IF(Source!BC30&lt;&gt;0,Source!BC30,1)*Source!I30)+((Source!DN30/100)*(Source!CT30/IF(Source!BA30&lt;&gt;0,Source!BA30,1)*Source!I30))+((Source!DO30/100)*(Source!CT30/IF(Source!BA30&lt;&gt;0,Source!BA30,1)*Source!I30))+((Source!CS30/IF(Source!BS30&lt;&gt;0,Source!BS30,1)*Source!I30)*1.75)),0)</f>
        <v>0</v>
      </c>
      <c r="U77">
        <f>IF(Source!BI30=1,Source!O30+Source!X30+Source!Y30+Source!R30*167/100,0)</f>
        <v>65550.8149</v>
      </c>
      <c r="V77">
        <f>IF(Source!BI30=2,Source!O30+Source!X30+Source!Y30+Source!R30*167/100,0)</f>
        <v>0</v>
      </c>
      <c r="W77">
        <f>IF(Source!BI30=3,Source!O30+Source!X30+Source!Y30+Source!R30*167/100,0)</f>
        <v>0</v>
      </c>
      <c r="X77">
        <f>IF(Source!BI30=4,Source!O30+Source!X30+Source!Y30+Source!R30*167/100,0)</f>
        <v>0</v>
      </c>
    </row>
    <row r="78" spans="1:25" ht="36">
      <c r="A78" s="25" t="str">
        <f>Source!E31</f>
        <v>5</v>
      </c>
      <c r="B78" s="25" t="str">
        <f>Source!F31</f>
        <v>3.13-9-2</v>
      </c>
      <c r="C78" s="10" t="str">
        <f>Source!G31</f>
        <v>ОГРУНТОВКА МЕТАЛЛИЧЕСКИХ ПОВЕРХНОСТЕЙ ГРУНТОВКОЙ ГФ-021 ЗА ОДИН РАЗ</v>
      </c>
      <c r="D78" s="26" t="str">
        <f>Source!H31</f>
        <v>100 м2</v>
      </c>
      <c r="E78" s="6">
        <f>ROUND(Source!I31,6)</f>
        <v>1.66</v>
      </c>
      <c r="F78" s="6"/>
      <c r="G78" s="6"/>
      <c r="H78" s="6"/>
      <c r="I78" s="6"/>
      <c r="J78" s="6"/>
      <c r="K78" s="6"/>
      <c r="Y78">
        <v>8</v>
      </c>
    </row>
    <row r="79" spans="1:11" ht="12.75">
      <c r="A79" s="6"/>
      <c r="B79" s="6"/>
      <c r="C79" s="6" t="s">
        <v>229</v>
      </c>
      <c r="D79" s="6"/>
      <c r="E79" s="6"/>
      <c r="F79" s="12">
        <f>Source!AO31</f>
        <v>74.13</v>
      </c>
      <c r="G79" s="27" t="str">
        <f>Source!DG31</f>
        <v>)*1,15</v>
      </c>
      <c r="H79" s="6">
        <f>Source!AV31</f>
        <v>1</v>
      </c>
      <c r="I79" s="12">
        <f>(Source!CT31/IF(Source!BA31&lt;&gt;0,Source!BA31,1)*Source!I31)</f>
        <v>141.51416999999998</v>
      </c>
      <c r="J79" s="6">
        <f>Source!BA31</f>
        <v>17.04</v>
      </c>
      <c r="K79" s="12">
        <f>Source!S31</f>
        <v>2411.4</v>
      </c>
    </row>
    <row r="80" spans="1:11" ht="12.75">
      <c r="A80" s="6"/>
      <c r="B80" s="6"/>
      <c r="C80" s="6" t="s">
        <v>230</v>
      </c>
      <c r="D80" s="6"/>
      <c r="E80" s="6"/>
      <c r="F80" s="12">
        <f>Source!AM31</f>
        <v>20.89</v>
      </c>
      <c r="G80" s="27" t="str">
        <f>Source!DE31</f>
        <v>)*1,25</v>
      </c>
      <c r="H80" s="6">
        <f>Source!AV31</f>
        <v>1</v>
      </c>
      <c r="I80" s="12">
        <f>(Source!CR31/IF(Source!BB31&lt;&gt;0,Source!BB31,1)*Source!I31)</f>
        <v>43.34675</v>
      </c>
      <c r="J80" s="6">
        <f>Source!BB31</f>
        <v>4.72</v>
      </c>
      <c r="K80" s="12">
        <f>Source!Q31</f>
        <v>204.6</v>
      </c>
    </row>
    <row r="81" spans="1:12" ht="12.75">
      <c r="A81" s="6"/>
      <c r="B81" s="6"/>
      <c r="C81" s="6" t="s">
        <v>231</v>
      </c>
      <c r="D81" s="6"/>
      <c r="E81" s="6"/>
      <c r="F81" s="12">
        <f>Source!AN31</f>
        <v>1.87</v>
      </c>
      <c r="G81" s="27" t="str">
        <f>Source!DF31</f>
        <v>)*1,25</v>
      </c>
      <c r="H81" s="6">
        <f>Source!AV31</f>
        <v>1</v>
      </c>
      <c r="I81" s="28" t="str">
        <f>CONCATENATE("(",TEXT(+(Source!CS31/IF(J81&lt;&gt;0,J81,1)*Source!I31),"0,00"),")")</f>
        <v>(3,88)</v>
      </c>
      <c r="J81" s="6">
        <f>Source!BS31</f>
        <v>17.04</v>
      </c>
      <c r="K81" s="28" t="str">
        <f>CONCATENATE("(",TEXT(+Source!R31,"0,00"),")")</f>
        <v>(66,12)</v>
      </c>
      <c r="L81">
        <f>IF(J81&lt;&gt;0,Source!R31/J81,Source!R31)</f>
        <v>3.8802816901408455</v>
      </c>
    </row>
    <row r="82" spans="1:11" ht="12.75">
      <c r="A82" s="6"/>
      <c r="B82" s="6"/>
      <c r="C82" s="6" t="s">
        <v>238</v>
      </c>
      <c r="D82" s="6"/>
      <c r="E82" s="6"/>
      <c r="F82" s="12">
        <f>Source!AL31</f>
        <v>9.46</v>
      </c>
      <c r="G82" s="6">
        <f>Source!DD31</f>
      </c>
      <c r="H82" s="6">
        <f>Source!AW31</f>
        <v>1</v>
      </c>
      <c r="I82" s="12">
        <f>(Source!CQ31/IF(Source!BC31&lt;&gt;0,Source!BC31,1)*Source!I31)</f>
        <v>15.7036</v>
      </c>
      <c r="J82" s="6">
        <f>Source!BC31</f>
        <v>13.04</v>
      </c>
      <c r="K82" s="12">
        <f>Source!P31</f>
        <v>204.77</v>
      </c>
    </row>
    <row r="83" spans="1:25" ht="24">
      <c r="A83" s="25" t="str">
        <f>Source!E32</f>
        <v>5,1</v>
      </c>
      <c r="B83" s="25" t="str">
        <f>Source!F32</f>
        <v>1.1-1-165</v>
      </c>
      <c r="C83" s="10" t="str">
        <f>Source!G32</f>
        <v>ГРУНТОВКА ГЛИФТАЛЕВАЯ, ГФ-021</v>
      </c>
      <c r="D83" s="26" t="str">
        <f>Source!H32</f>
        <v>т</v>
      </c>
      <c r="E83" s="6">
        <f>ROUND(Source!I32,6)</f>
        <v>0.01494</v>
      </c>
      <c r="F83" s="12">
        <f>IF(Source!AL32=0,Source!AK32,Source!AL32)</f>
        <v>18660.61</v>
      </c>
      <c r="G83" s="27">
        <f>Source!DD32</f>
      </c>
      <c r="H83" s="6">
        <f>Source!AW32</f>
        <v>1</v>
      </c>
      <c r="I83" s="12">
        <f>(Source!CR32/IF(Source!BB32&lt;&gt;0,Source!BB32,1)*Source!I32)+(Source!CQ32/IF(Source!BC32&lt;&gt;0,Source!BC32,1)*Source!I32)+(Source!CT32/IF(Source!BA32&lt;&gt;0,Source!BA32,1)*Source!I32)</f>
        <v>278.78951340000003</v>
      </c>
      <c r="J83" s="6">
        <f>Source!BC32</f>
        <v>2.35</v>
      </c>
      <c r="K83" s="12">
        <f>Source!O32</f>
        <v>655.16</v>
      </c>
      <c r="O83">
        <f>IF(Source!BI32=1,((Source!CR32/IF(Source!BB32&lt;&gt;0,Source!BB32,1)*Source!I32)+(Source!CQ32/IF(Source!BC32&lt;&gt;0,Source!BC32,1)*Source!I32)+(Source!CT32/IF(Source!BA32&lt;&gt;0,Source!BA32,1)*Source!I32)),0)</f>
        <v>278.78951340000003</v>
      </c>
      <c r="P83">
        <f>IF(Source!BI32=2,((Source!CR32/IF(Source!BB32&lt;&gt;0,Source!BB32,1)*Source!I32)+(Source!CQ32/IF(Source!BC32&lt;&gt;0,Source!BC32,1)*Source!I32)+(Source!CT32/IF(Source!BA32&lt;&gt;0,Source!BA32,1)*Source!I32)),0)</f>
        <v>0</v>
      </c>
      <c r="Q83">
        <f>IF(Source!BI32=3,((Source!CR32/IF(Source!BB32&lt;&gt;0,Source!BB32,1)*Source!I32)+(Source!CQ32/IF(Source!BC32&lt;&gt;0,Source!BC32,1)*Source!I32)+(Source!CT32/IF(Source!BA32&lt;&gt;0,Source!BA32,1)*Source!I32)),0)</f>
        <v>0</v>
      </c>
      <c r="R83">
        <f>IF(Source!BI32=4,((Source!CR32/IF(Source!BB32&lt;&gt;0,Source!BB32,1)*Source!I32)+(Source!CQ32/IF(Source!BC32&lt;&gt;0,Source!BC32,1)*Source!I32)+(Source!CT32/IF(Source!BA32&lt;&gt;0,Source!BA32,1)*Source!I32)),0)</f>
        <v>0</v>
      </c>
      <c r="U83">
        <f>IF(Source!BI32=1,Source!O32+Source!X32+Source!Y32,0)</f>
        <v>655.16</v>
      </c>
      <c r="V83">
        <f>IF(Source!BI32=2,Source!O32+Source!X32+Source!Y32,0)</f>
        <v>0</v>
      </c>
      <c r="W83">
        <f>IF(Source!BI32=3,Source!O32+Source!X32+Source!Y32,0)</f>
        <v>0</v>
      </c>
      <c r="X83">
        <f>IF(Source!BI32=4,Source!O32+Source!X32+Source!Y32,0)</f>
        <v>0</v>
      </c>
      <c r="Y83">
        <v>9</v>
      </c>
    </row>
    <row r="84" spans="1:11" ht="12.75">
      <c r="A84" s="6"/>
      <c r="B84" s="6"/>
      <c r="C84" s="6" t="s">
        <v>232</v>
      </c>
      <c r="D84" s="6" t="s">
        <v>233</v>
      </c>
      <c r="E84" s="6">
        <f>Source!DN31</f>
        <v>100</v>
      </c>
      <c r="F84" s="6"/>
      <c r="G84" s="6"/>
      <c r="H84" s="6"/>
      <c r="I84" s="12">
        <f>(E84/100)*(Source!CT31/IF(Source!BA31&lt;&gt;0,Source!BA31,1)*Source!I31)</f>
        <v>141.51416999999998</v>
      </c>
      <c r="J84" s="6">
        <f>Source!AT31</f>
        <v>85</v>
      </c>
      <c r="K84" s="12">
        <f>Source!X31</f>
        <v>2049.69</v>
      </c>
    </row>
    <row r="85" spans="1:11" ht="12.75">
      <c r="A85" s="6"/>
      <c r="B85" s="6"/>
      <c r="C85" s="6" t="s">
        <v>234</v>
      </c>
      <c r="D85" s="6" t="s">
        <v>233</v>
      </c>
      <c r="E85" s="6">
        <f>Source!DO31</f>
        <v>64</v>
      </c>
      <c r="F85" s="6"/>
      <c r="G85" s="6"/>
      <c r="H85" s="6"/>
      <c r="I85" s="12">
        <f>(E85/100)*(Source!CT31/IF(Source!BA31&lt;&gt;0,Source!BA31,1)*Source!I31)</f>
        <v>90.56906879999998</v>
      </c>
      <c r="J85" s="6">
        <f>Source!AU31</f>
        <v>44</v>
      </c>
      <c r="K85" s="12">
        <f>Source!Y31</f>
        <v>1061.02</v>
      </c>
    </row>
    <row r="86" spans="1:11" ht="12.75">
      <c r="A86" s="6"/>
      <c r="B86" s="6"/>
      <c r="C86" s="6" t="s">
        <v>235</v>
      </c>
      <c r="D86" s="6" t="s">
        <v>233</v>
      </c>
      <c r="E86" s="6">
        <v>175</v>
      </c>
      <c r="F86" s="6"/>
      <c r="G86" s="6"/>
      <c r="H86" s="6"/>
      <c r="I86" s="12">
        <f>(Source!CS31/IF(Source!BS31&lt;&gt;0,Source!BS31,1)*Source!I31)*1.75</f>
        <v>6.7904375</v>
      </c>
      <c r="J86" s="6">
        <v>167</v>
      </c>
      <c r="K86" s="12">
        <f>Source!R31*J86/100</f>
        <v>110.42040000000001</v>
      </c>
    </row>
    <row r="87" spans="1:11" ht="12.75">
      <c r="A87" s="29"/>
      <c r="B87" s="29"/>
      <c r="C87" s="29" t="s">
        <v>236</v>
      </c>
      <c r="D87" s="29" t="s">
        <v>237</v>
      </c>
      <c r="E87" s="29">
        <f>Source!AQ31</f>
        <v>5.31</v>
      </c>
      <c r="F87" s="29"/>
      <c r="G87" s="30" t="str">
        <f>Source!DI31</f>
        <v>)*1,15</v>
      </c>
      <c r="H87" s="29">
        <f>Source!AV31</f>
        <v>1</v>
      </c>
      <c r="I87" s="31">
        <f>ROUND(Source!U31,2)</f>
        <v>10.14</v>
      </c>
      <c r="J87" s="29"/>
      <c r="K87" s="29"/>
    </row>
    <row r="88" spans="9:24" ht="12.75">
      <c r="I88" s="32">
        <f>(Source!CT31/IF(Source!BA31&lt;&gt;0,Source!BA31,1)*Source!I31)+(Source!CR31/IF(Source!BB31&lt;&gt;0,Source!BB31,1)*Source!I31)+SUM(I82:I86)</f>
        <v>718.2277097</v>
      </c>
      <c r="J88" s="9"/>
      <c r="K88" s="32">
        <f>Source!S31+Source!Q31+SUM(K82:K86)</f>
        <v>6697.0604</v>
      </c>
      <c r="L88">
        <f>(Source!CT31/IF(Source!BA31&lt;&gt;0,Source!BA31,1)*Source!I31)</f>
        <v>141.51416999999998</v>
      </c>
      <c r="M88" s="13">
        <f>I88</f>
        <v>718.2277097</v>
      </c>
      <c r="O88">
        <f>IF(Source!BI31=1,((Source!CT31/IF(Source!BA31&lt;&gt;0,Source!BA31,1)*Source!I31)+(Source!CR31/IF(Source!BB31&lt;&gt;0,Source!BB31,1)*Source!I31)+(Source!CQ31/IF(Source!BC31&lt;&gt;0,Source!BC31,1)*Source!I31)+((Source!DN31/100)*(Source!CT31/IF(Source!BA31&lt;&gt;0,Source!BA31,1)*Source!I31))+((Source!DO31/100)*(Source!CT31/IF(Source!BA31&lt;&gt;0,Source!BA31,1)*Source!I31))+((Source!CS31/IF(Source!BS31&lt;&gt;0,Source!BS31,1)*Source!I31)*1.75)),0)</f>
        <v>439.4381962999999</v>
      </c>
      <c r="P88">
        <f>IF(Source!BI31=2,((Source!CT31/IF(Source!BA31&lt;&gt;0,Source!BA31,1)*Source!I31)+(Source!CR31/IF(Source!BB31&lt;&gt;0,Source!BB31,1)*Source!I31)+(Source!CQ31/IF(Source!BC31&lt;&gt;0,Source!BC31,1)*Source!I31)+((Source!DN31/100)*(Source!CT31/IF(Source!BA31&lt;&gt;0,Source!BA31,1)*Source!I31))+((Source!DO31/100)*(Source!CT31/IF(Source!BA31&lt;&gt;0,Source!BA31,1)*Source!I31))+((Source!CS31/IF(Source!BS31&lt;&gt;0,Source!BS31,1)*Source!I31)*1.75)),0)</f>
        <v>0</v>
      </c>
      <c r="Q88">
        <f>IF(Source!BI31=3,((Source!CT31/IF(Source!BA31&lt;&gt;0,Source!BA31,1)*Source!I31)+(Source!CR31/IF(Source!BB31&lt;&gt;0,Source!BB31,1)*Source!I31)+(Source!CQ31/IF(Source!BC31&lt;&gt;0,Source!BC31,1)*Source!I31)+((Source!DN31/100)*(Source!CT31/IF(Source!BA31&lt;&gt;0,Source!BA31,1)*Source!I31))+((Source!DO31/100)*(Source!CT31/IF(Source!BA31&lt;&gt;0,Source!BA31,1)*Source!I31))+((Source!CS31/IF(Source!BS31&lt;&gt;0,Source!BS31,1)*Source!I31)*1.75)),0)</f>
        <v>0</v>
      </c>
      <c r="R88">
        <f>IF(Source!BI31=4,((Source!CT31/IF(Source!BA31&lt;&gt;0,Source!BA31,1)*Source!I31)+(Source!CR31/IF(Source!BB31&lt;&gt;0,Source!BB31,1)*Source!I31)+(Source!CQ31/IF(Source!BC31&lt;&gt;0,Source!BC31,1)*Source!I31)+((Source!DN31/100)*(Source!CT31/IF(Source!BA31&lt;&gt;0,Source!BA31,1)*Source!I31))+((Source!DO31/100)*(Source!CT31/IF(Source!BA31&lt;&gt;0,Source!BA31,1)*Source!I31))+((Source!CS31/IF(Source!BS31&lt;&gt;0,Source!BS31,1)*Source!I31)*1.75)),0)</f>
        <v>0</v>
      </c>
      <c r="U88">
        <f>IF(Source!BI31=1,Source!O31+Source!X31+Source!Y31+Source!R31*167/100,0)</f>
        <v>6041.9003999999995</v>
      </c>
      <c r="V88">
        <f>IF(Source!BI31=2,Source!O31+Source!X31+Source!Y31+Source!R31*167/100,0)</f>
        <v>0</v>
      </c>
      <c r="W88">
        <f>IF(Source!BI31=3,Source!O31+Source!X31+Source!Y31+Source!R31*167/100,0)</f>
        <v>0</v>
      </c>
      <c r="X88">
        <f>IF(Source!BI31=4,Source!O31+Source!X31+Source!Y31+Source!R31*167/100,0)</f>
        <v>0</v>
      </c>
    </row>
    <row r="89" spans="1:25" ht="36">
      <c r="A89" s="25" t="str">
        <f>Source!E33</f>
        <v>6</v>
      </c>
      <c r="B89" s="25" t="str">
        <f>Source!F33</f>
        <v>3.13-11-1</v>
      </c>
      <c r="C89" s="10" t="str">
        <f>Source!G33</f>
        <v>ОКРАСКА ОГРУНТОВАННЫХ МЕТАЛЛИЧЕСКИХ ПОВЕРХНОСТЕЙ ЭМАЛЬЮ ЭП-140</v>
      </c>
      <c r="D89" s="26" t="str">
        <f>Source!H33</f>
        <v>100 м2</v>
      </c>
      <c r="E89" s="6">
        <f>ROUND(Source!I33,6)</f>
        <v>1.66</v>
      </c>
      <c r="F89" s="6"/>
      <c r="G89" s="6"/>
      <c r="H89" s="6"/>
      <c r="I89" s="6"/>
      <c r="J89" s="6"/>
      <c r="K89" s="6"/>
      <c r="Y89">
        <v>10</v>
      </c>
    </row>
    <row r="90" spans="1:11" ht="12.75">
      <c r="A90" s="6"/>
      <c r="B90" s="6"/>
      <c r="C90" s="6" t="s">
        <v>229</v>
      </c>
      <c r="D90" s="6"/>
      <c r="E90" s="6"/>
      <c r="F90" s="12">
        <f>Source!AO33</f>
        <v>29.51</v>
      </c>
      <c r="G90" s="27" t="str">
        <f>Source!DG33</f>
        <v>)*1,15</v>
      </c>
      <c r="H90" s="6">
        <f>Source!AV33</f>
        <v>1</v>
      </c>
      <c r="I90" s="12">
        <f>(Source!CT33/IF(Source!BA33&lt;&gt;0,Source!BA33,1)*Source!I33)</f>
        <v>56.33459</v>
      </c>
      <c r="J90" s="6">
        <f>Source!BA33</f>
        <v>17.04</v>
      </c>
      <c r="K90" s="12">
        <f>Source!S33</f>
        <v>959.94</v>
      </c>
    </row>
    <row r="91" spans="1:11" ht="12.75">
      <c r="A91" s="6"/>
      <c r="B91" s="6"/>
      <c r="C91" s="6" t="s">
        <v>230</v>
      </c>
      <c r="D91" s="6"/>
      <c r="E91" s="6"/>
      <c r="F91" s="12">
        <f>Source!AM33</f>
        <v>20.89</v>
      </c>
      <c r="G91" s="27" t="str">
        <f>Source!DE33</f>
        <v>)*1,25</v>
      </c>
      <c r="H91" s="6">
        <f>Source!AV33</f>
        <v>1</v>
      </c>
      <c r="I91" s="12">
        <f>(Source!CR33/IF(Source!BB33&lt;&gt;0,Source!BB33,1)*Source!I33)</f>
        <v>43.34675</v>
      </c>
      <c r="J91" s="6">
        <f>Source!BB33</f>
        <v>4.72</v>
      </c>
      <c r="K91" s="12">
        <f>Source!Q33</f>
        <v>204.6</v>
      </c>
    </row>
    <row r="92" spans="1:12" ht="12.75">
      <c r="A92" s="6"/>
      <c r="B92" s="6"/>
      <c r="C92" s="6" t="s">
        <v>231</v>
      </c>
      <c r="D92" s="6"/>
      <c r="E92" s="6"/>
      <c r="F92" s="12">
        <f>Source!AN33</f>
        <v>1.87</v>
      </c>
      <c r="G92" s="27" t="str">
        <f>Source!DF33</f>
        <v>)*1,25</v>
      </c>
      <c r="H92" s="6">
        <f>Source!AV33</f>
        <v>1</v>
      </c>
      <c r="I92" s="28" t="str">
        <f>CONCATENATE("(",TEXT(+(Source!CS33/IF(J92&lt;&gt;0,J92,1)*Source!I33),"0,00"),")")</f>
        <v>(3,88)</v>
      </c>
      <c r="J92" s="6">
        <f>Source!BS33</f>
        <v>17.04</v>
      </c>
      <c r="K92" s="28" t="str">
        <f>CONCATENATE("(",TEXT(+Source!R33,"0,00"),")")</f>
        <v>(66,12)</v>
      </c>
      <c r="L92">
        <f>IF(J92&lt;&gt;0,Source!R33/J92,Source!R33)</f>
        <v>3.8802816901408455</v>
      </c>
    </row>
    <row r="93" spans="1:11" ht="12.75">
      <c r="A93" s="6"/>
      <c r="B93" s="6"/>
      <c r="C93" s="6" t="s">
        <v>238</v>
      </c>
      <c r="D93" s="6"/>
      <c r="E93" s="6"/>
      <c r="F93" s="12">
        <f>Source!AL33</f>
        <v>432.64</v>
      </c>
      <c r="G93" s="6">
        <f>Source!DD33</f>
      </c>
      <c r="H93" s="6">
        <f>Source!AW33</f>
        <v>1</v>
      </c>
      <c r="I93" s="12">
        <f>(Source!CQ33/IF(Source!BC33&lt;&gt;0,Source!BC33,1)*Source!I33)</f>
        <v>718.1823999999999</v>
      </c>
      <c r="J93" s="6">
        <f>Source!BC33</f>
        <v>3.2</v>
      </c>
      <c r="K93" s="12">
        <f>Source!P33</f>
        <v>2298.18</v>
      </c>
    </row>
    <row r="94" spans="1:25" ht="24">
      <c r="A94" s="25" t="str">
        <f>Source!E34</f>
        <v>6,1</v>
      </c>
      <c r="B94" s="25" t="str">
        <f>Source!F34</f>
        <v>1.1-1-3164</v>
      </c>
      <c r="C94" s="10" t="str">
        <f>Source!G34</f>
        <v>ЭМАЛЬ НИТРОЦЕЛЛЮЛОЗНАЯ, ЦВЕТНАЯ, МАРКА НЦ-132</v>
      </c>
      <c r="D94" s="26" t="str">
        <f>Source!H34</f>
        <v>кг</v>
      </c>
      <c r="E94" s="6">
        <f>ROUND(Source!I34,6)</f>
        <v>21.58</v>
      </c>
      <c r="F94" s="12">
        <f>IF(Source!AL34=0,Source!AK34,Source!AL34)</f>
        <v>35.59</v>
      </c>
      <c r="G94" s="27">
        <f>Source!DD34</f>
      </c>
      <c r="H94" s="6">
        <f>Source!AW34</f>
        <v>1</v>
      </c>
      <c r="I94" s="12">
        <f>(Source!CR34/IF(Source!BB34&lt;&gt;0,Source!BB34,1)*Source!I34)+(Source!CQ34/IF(Source!BC34&lt;&gt;0,Source!BC34,1)*Source!I34)+(Source!CT34/IF(Source!BA34&lt;&gt;0,Source!BA34,1)*Source!I34)</f>
        <v>768.0322</v>
      </c>
      <c r="J94" s="6">
        <f>Source!BC34</f>
        <v>1.98</v>
      </c>
      <c r="K94" s="12">
        <f>Source!O34</f>
        <v>1520.7</v>
      </c>
      <c r="O94">
        <f>IF(Source!BI34=1,((Source!CR34/IF(Source!BB34&lt;&gt;0,Source!BB34,1)*Source!I34)+(Source!CQ34/IF(Source!BC34&lt;&gt;0,Source!BC34,1)*Source!I34)+(Source!CT34/IF(Source!BA34&lt;&gt;0,Source!BA34,1)*Source!I34)),0)</f>
        <v>768.0322</v>
      </c>
      <c r="P94">
        <f>IF(Source!BI34=2,((Source!CR34/IF(Source!BB34&lt;&gt;0,Source!BB34,1)*Source!I34)+(Source!CQ34/IF(Source!BC34&lt;&gt;0,Source!BC34,1)*Source!I34)+(Source!CT34/IF(Source!BA34&lt;&gt;0,Source!BA34,1)*Source!I34)),0)</f>
        <v>0</v>
      </c>
      <c r="Q94">
        <f>IF(Source!BI34=3,((Source!CR34/IF(Source!BB34&lt;&gt;0,Source!BB34,1)*Source!I34)+(Source!CQ34/IF(Source!BC34&lt;&gt;0,Source!BC34,1)*Source!I34)+(Source!CT34/IF(Source!BA34&lt;&gt;0,Source!BA34,1)*Source!I34)),0)</f>
        <v>0</v>
      </c>
      <c r="R94">
        <f>IF(Source!BI34=4,((Source!CR34/IF(Source!BB34&lt;&gt;0,Source!BB34,1)*Source!I34)+(Source!CQ34/IF(Source!BC34&lt;&gt;0,Source!BC34,1)*Source!I34)+(Source!CT34/IF(Source!BA34&lt;&gt;0,Source!BA34,1)*Source!I34)),0)</f>
        <v>0</v>
      </c>
      <c r="U94">
        <f>IF(Source!BI34=1,Source!O34+Source!X34+Source!Y34,0)</f>
        <v>1520.7</v>
      </c>
      <c r="V94">
        <f>IF(Source!BI34=2,Source!O34+Source!X34+Source!Y34,0)</f>
        <v>0</v>
      </c>
      <c r="W94">
        <f>IF(Source!BI34=3,Source!O34+Source!X34+Source!Y34,0)</f>
        <v>0</v>
      </c>
      <c r="X94">
        <f>IF(Source!BI34=4,Source!O34+Source!X34+Source!Y34,0)</f>
        <v>0</v>
      </c>
      <c r="Y94">
        <v>11</v>
      </c>
    </row>
    <row r="95" spans="1:11" ht="12.75">
      <c r="A95" s="6"/>
      <c r="B95" s="6"/>
      <c r="C95" s="6" t="s">
        <v>232</v>
      </c>
      <c r="D95" s="6" t="s">
        <v>233</v>
      </c>
      <c r="E95" s="6">
        <f>Source!DN33</f>
        <v>100</v>
      </c>
      <c r="F95" s="6"/>
      <c r="G95" s="6"/>
      <c r="H95" s="6"/>
      <c r="I95" s="12">
        <f>(E95/100)*(Source!CT33/IF(Source!BA33&lt;&gt;0,Source!BA33,1)*Source!I33)</f>
        <v>56.33459</v>
      </c>
      <c r="J95" s="6">
        <f>Source!AT33</f>
        <v>85</v>
      </c>
      <c r="K95" s="12">
        <f>Source!X33</f>
        <v>815.95</v>
      </c>
    </row>
    <row r="96" spans="1:11" ht="12.75">
      <c r="A96" s="6"/>
      <c r="B96" s="6"/>
      <c r="C96" s="6" t="s">
        <v>234</v>
      </c>
      <c r="D96" s="6" t="s">
        <v>233</v>
      </c>
      <c r="E96" s="6">
        <f>Source!DO33</f>
        <v>64</v>
      </c>
      <c r="F96" s="6"/>
      <c r="G96" s="6"/>
      <c r="H96" s="6"/>
      <c r="I96" s="12">
        <f>(E96/100)*(Source!CT33/IF(Source!BA33&lt;&gt;0,Source!BA33,1)*Source!I33)</f>
        <v>36.0541376</v>
      </c>
      <c r="J96" s="6">
        <f>Source!AU33</f>
        <v>44</v>
      </c>
      <c r="K96" s="12">
        <f>Source!Y33</f>
        <v>422.37</v>
      </c>
    </row>
    <row r="97" spans="1:11" ht="12.75">
      <c r="A97" s="6"/>
      <c r="B97" s="6"/>
      <c r="C97" s="6" t="s">
        <v>235</v>
      </c>
      <c r="D97" s="6" t="s">
        <v>233</v>
      </c>
      <c r="E97" s="6">
        <v>175</v>
      </c>
      <c r="F97" s="6"/>
      <c r="G97" s="6"/>
      <c r="H97" s="6"/>
      <c r="I97" s="12">
        <f>(Source!CS33/IF(Source!BS33&lt;&gt;0,Source!BS33,1)*Source!I33)*1.75</f>
        <v>6.7904375</v>
      </c>
      <c r="J97" s="6">
        <v>167</v>
      </c>
      <c r="K97" s="12">
        <f>Source!R33*J97/100</f>
        <v>110.42040000000001</v>
      </c>
    </row>
    <row r="98" spans="1:11" ht="12.75">
      <c r="A98" s="29"/>
      <c r="B98" s="29"/>
      <c r="C98" s="29" t="s">
        <v>236</v>
      </c>
      <c r="D98" s="29" t="s">
        <v>237</v>
      </c>
      <c r="E98" s="29">
        <f>Source!AQ33</f>
        <v>2.48</v>
      </c>
      <c r="F98" s="29"/>
      <c r="G98" s="30" t="str">
        <f>Source!DI33</f>
        <v>)*1,15</v>
      </c>
      <c r="H98" s="29">
        <f>Source!AV33</f>
        <v>1</v>
      </c>
      <c r="I98" s="31">
        <f>ROUND(Source!U33,2)</f>
        <v>4.73</v>
      </c>
      <c r="J98" s="29"/>
      <c r="K98" s="29"/>
    </row>
    <row r="99" spans="9:24" ht="12.75">
      <c r="I99" s="32">
        <f>(Source!CT33/IF(Source!BA33&lt;&gt;0,Source!BA33,1)*Source!I33)+(Source!CR33/IF(Source!BB33&lt;&gt;0,Source!BB33,1)*Source!I33)+SUM(I93:I97)</f>
        <v>1685.0751051</v>
      </c>
      <c r="J99" s="9"/>
      <c r="K99" s="32">
        <f>Source!S33+Source!Q33+SUM(K93:K97)</f>
        <v>6332.1604</v>
      </c>
      <c r="L99">
        <f>(Source!CT33/IF(Source!BA33&lt;&gt;0,Source!BA33,1)*Source!I33)</f>
        <v>56.33459</v>
      </c>
      <c r="M99" s="13">
        <f>I99</f>
        <v>1685.0751051</v>
      </c>
      <c r="O99">
        <f>IF(Source!BI33=1,((Source!CT33/IF(Source!BA33&lt;&gt;0,Source!BA33,1)*Source!I33)+(Source!CR33/IF(Source!BB33&lt;&gt;0,Source!BB33,1)*Source!I33)+(Source!CQ33/IF(Source!BC33&lt;&gt;0,Source!BC33,1)*Source!I33)+((Source!DN33/100)*(Source!CT33/IF(Source!BA33&lt;&gt;0,Source!BA33,1)*Source!I33))+((Source!DO33/100)*(Source!CT33/IF(Source!BA33&lt;&gt;0,Source!BA33,1)*Source!I33))+((Source!CS33/IF(Source!BS33&lt;&gt;0,Source!BS33,1)*Source!I33)*1.75)),0)</f>
        <v>917.0429051</v>
      </c>
      <c r="P99">
        <f>IF(Source!BI33=2,((Source!CT33/IF(Source!BA33&lt;&gt;0,Source!BA33,1)*Source!I33)+(Source!CR33/IF(Source!BB33&lt;&gt;0,Source!BB33,1)*Source!I33)+(Source!CQ33/IF(Source!BC33&lt;&gt;0,Source!BC33,1)*Source!I33)+((Source!DN33/100)*(Source!CT33/IF(Source!BA33&lt;&gt;0,Source!BA33,1)*Source!I33))+((Source!DO33/100)*(Source!CT33/IF(Source!BA33&lt;&gt;0,Source!BA33,1)*Source!I33))+((Source!CS33/IF(Source!BS33&lt;&gt;0,Source!BS33,1)*Source!I33)*1.75)),0)</f>
        <v>0</v>
      </c>
      <c r="Q99">
        <f>IF(Source!BI33=3,((Source!CT33/IF(Source!BA33&lt;&gt;0,Source!BA33,1)*Source!I33)+(Source!CR33/IF(Source!BB33&lt;&gt;0,Source!BB33,1)*Source!I33)+(Source!CQ33/IF(Source!BC33&lt;&gt;0,Source!BC33,1)*Source!I33)+((Source!DN33/100)*(Source!CT33/IF(Source!BA33&lt;&gt;0,Source!BA33,1)*Source!I33))+((Source!DO33/100)*(Source!CT33/IF(Source!BA33&lt;&gt;0,Source!BA33,1)*Source!I33))+((Source!CS33/IF(Source!BS33&lt;&gt;0,Source!BS33,1)*Source!I33)*1.75)),0)</f>
        <v>0</v>
      </c>
      <c r="R99">
        <f>IF(Source!BI33=4,((Source!CT33/IF(Source!BA33&lt;&gt;0,Source!BA33,1)*Source!I33)+(Source!CR33/IF(Source!BB33&lt;&gt;0,Source!BB33,1)*Source!I33)+(Source!CQ33/IF(Source!BC33&lt;&gt;0,Source!BC33,1)*Source!I33)+((Source!DN33/100)*(Source!CT33/IF(Source!BA33&lt;&gt;0,Source!BA33,1)*Source!I33))+((Source!DO33/100)*(Source!CT33/IF(Source!BA33&lt;&gt;0,Source!BA33,1)*Source!I33))+((Source!CS33/IF(Source!BS33&lt;&gt;0,Source!BS33,1)*Source!I33)*1.75)),0)</f>
        <v>0</v>
      </c>
      <c r="U99">
        <f>IF(Source!BI33=1,Source!O33+Source!X33+Source!Y33+Source!R33*167/100,0)</f>
        <v>4811.4604</v>
      </c>
      <c r="V99">
        <f>IF(Source!BI33=2,Source!O33+Source!X33+Source!Y33+Source!R33*167/100,0)</f>
        <v>0</v>
      </c>
      <c r="W99">
        <f>IF(Source!BI33=3,Source!O33+Source!X33+Source!Y33+Source!R33*167/100,0)</f>
        <v>0</v>
      </c>
      <c r="X99">
        <f>IF(Source!BI33=4,Source!O33+Source!X33+Source!Y33+Source!R33*167/100,0)</f>
        <v>0</v>
      </c>
    </row>
    <row r="100" spans="1:25" ht="72">
      <c r="A100" s="25" t="str">
        <f>Source!E35</f>
        <v>7</v>
      </c>
      <c r="B100" s="25" t="str">
        <f>Source!F35</f>
        <v>3.10-71-1</v>
      </c>
      <c r="C100" s="10" t="str">
        <f>Source!G35</f>
        <v>УСТРОЙСТВО ПЕРЕГОРОДОК С ОДНОРЯДНЫМ КАРКАСОМ С ОБШИВКОЙ ГИПСОКАРТОННЫМИ ЛИСТАМИ ОДНОЙ СТОРОНЫ В ОДИН СЛОЙ - ОДНОСЛОЙНЫЕ (БЕЗ ПОДГОТОВКИ ПОД ОТДЕЛКУ)</v>
      </c>
      <c r="D100" s="26" t="str">
        <f>Source!H35</f>
        <v>100 м2</v>
      </c>
      <c r="E100" s="6">
        <f>ROUND(Source!I35,6)</f>
        <v>0.15</v>
      </c>
      <c r="F100" s="6"/>
      <c r="G100" s="6"/>
      <c r="H100" s="6"/>
      <c r="I100" s="6"/>
      <c r="J100" s="6"/>
      <c r="K100" s="6"/>
      <c r="Y100">
        <v>12</v>
      </c>
    </row>
    <row r="101" spans="1:11" ht="12.75">
      <c r="A101" s="6"/>
      <c r="B101" s="6"/>
      <c r="C101" s="6" t="s">
        <v>229</v>
      </c>
      <c r="D101" s="6"/>
      <c r="E101" s="6"/>
      <c r="F101" s="12">
        <f>Source!AO35</f>
        <v>2261</v>
      </c>
      <c r="G101" s="27" t="str">
        <f>Source!DG35</f>
        <v>*1,15</v>
      </c>
      <c r="H101" s="6">
        <f>Source!AV35</f>
        <v>1</v>
      </c>
      <c r="I101" s="12">
        <f>(Source!CT35/IF(Source!BA35&lt;&gt;0,Source!BA35,1)*Source!I35)</f>
        <v>390.0224999999999</v>
      </c>
      <c r="J101" s="6">
        <f>Source!BA35</f>
        <v>17.04</v>
      </c>
      <c r="K101" s="12">
        <f>Source!S35</f>
        <v>6645.98</v>
      </c>
    </row>
    <row r="102" spans="1:11" ht="12.75">
      <c r="A102" s="6"/>
      <c r="B102" s="6"/>
      <c r="C102" s="6" t="s">
        <v>230</v>
      </c>
      <c r="D102" s="6"/>
      <c r="E102" s="6"/>
      <c r="F102" s="12">
        <f>Source!AM35</f>
        <v>60.6</v>
      </c>
      <c r="G102" s="27" t="str">
        <f>Source!DE35</f>
        <v>*1,25</v>
      </c>
      <c r="H102" s="6">
        <f>Source!AV35</f>
        <v>1</v>
      </c>
      <c r="I102" s="12">
        <f>(Source!CR35/IF(Source!BB35&lt;&gt;0,Source!BB35,1)*Source!I35)</f>
        <v>11.362499999999999</v>
      </c>
      <c r="J102" s="6">
        <f>Source!BB35</f>
        <v>9.42</v>
      </c>
      <c r="K102" s="12">
        <f>Source!Q35</f>
        <v>107.03</v>
      </c>
    </row>
    <row r="103" spans="1:12" ht="12.75">
      <c r="A103" s="6"/>
      <c r="B103" s="6"/>
      <c r="C103" s="6" t="s">
        <v>231</v>
      </c>
      <c r="D103" s="6"/>
      <c r="E103" s="6"/>
      <c r="F103" s="12">
        <f>Source!AN35</f>
        <v>2.98</v>
      </c>
      <c r="G103" s="27" t="str">
        <f>Source!DF35</f>
        <v>*1,25</v>
      </c>
      <c r="H103" s="6">
        <f>Source!AV35</f>
        <v>1</v>
      </c>
      <c r="I103" s="28" t="str">
        <f>CONCATENATE("(",TEXT(+(Source!CS35/IF(J103&lt;&gt;0,J103,1)*Source!I35),"0,00"),")")</f>
        <v>(0,56)</v>
      </c>
      <c r="J103" s="6">
        <f>Source!BS35</f>
        <v>17.04</v>
      </c>
      <c r="K103" s="28" t="str">
        <f>CONCATENATE("(",TEXT(+Source!R35,"0,00"),")")</f>
        <v>(9,52)</v>
      </c>
      <c r="L103">
        <f>IF(J103&lt;&gt;0,Source!R35/J103,Source!R35)</f>
        <v>0.5586854460093896</v>
      </c>
    </row>
    <row r="104" spans="1:11" ht="12.75">
      <c r="A104" s="6"/>
      <c r="B104" s="6"/>
      <c r="C104" s="6" t="s">
        <v>238</v>
      </c>
      <c r="D104" s="6"/>
      <c r="E104" s="6"/>
      <c r="F104" s="12">
        <f>Source!AL35</f>
        <v>2775.42</v>
      </c>
      <c r="G104" s="6">
        <f>Source!DD35</f>
      </c>
      <c r="H104" s="6">
        <f>Source!AW35</f>
        <v>1</v>
      </c>
      <c r="I104" s="12">
        <f>(Source!CQ35/IF(Source!BC35&lt;&gt;0,Source!BC35,1)*Source!I35)</f>
        <v>416.313</v>
      </c>
      <c r="J104" s="6">
        <f>Source!BC35</f>
        <v>1.99</v>
      </c>
      <c r="K104" s="12">
        <f>Source!P35</f>
        <v>828.46</v>
      </c>
    </row>
    <row r="105" spans="1:25" ht="84">
      <c r="A105" s="25" t="str">
        <f>Source!E36</f>
        <v>7,1</v>
      </c>
      <c r="B105" s="25" t="str">
        <f>Source!F36</f>
        <v>1.7-4-24</v>
      </c>
      <c r="C105" s="10" t="str">
        <f>Source!G36</f>
        <v>ПРОФИЛИ МЕТАЛЛИЧЕСКИЕ ДЛЯ МОНТАЖА ГИПСОВЫХ ПЕРЕГОРОДОК И ПОДВЕСНЫХ ПОТОЛКОВ СТАЛЬНЫЕ, ОЦИНКОВАННЫЕ, МАРКА ПУ-2, ПРОФИЛЬ УГЛОВОЙ, СЕЧЕНИЕ 31Х31Х0,55 ММ</v>
      </c>
      <c r="D105" s="26" t="str">
        <f>Source!H36</f>
        <v>т</v>
      </c>
      <c r="E105" s="6">
        <f>ROUND(Source!I36,6)</f>
        <v>0.0087</v>
      </c>
      <c r="F105" s="12">
        <f>IF(Source!AL36=0,Source!AK36,Source!AL36)</f>
        <v>60883.49</v>
      </c>
      <c r="G105" s="27">
        <f>Source!DD36</f>
      </c>
      <c r="H105" s="6">
        <f>Source!AW36</f>
        <v>1</v>
      </c>
      <c r="I105" s="12">
        <f>(Source!CR36/IF(Source!BB36&lt;&gt;0,Source!BB36,1)*Source!I36)+(Source!CQ36/IF(Source!BC36&lt;&gt;0,Source!BC36,1)*Source!I36)+(Source!CT36/IF(Source!BA36&lt;&gt;0,Source!BA36,1)*Source!I36)</f>
        <v>529.6863629999999</v>
      </c>
      <c r="J105" s="6">
        <f>Source!BC36</f>
        <v>2.41</v>
      </c>
      <c r="K105" s="12">
        <f>Source!O36</f>
        <v>1276.54</v>
      </c>
      <c r="O105">
        <f>IF(Source!BI36=1,((Source!CR36/IF(Source!BB36&lt;&gt;0,Source!BB36,1)*Source!I36)+(Source!CQ36/IF(Source!BC36&lt;&gt;0,Source!BC36,1)*Source!I36)+(Source!CT36/IF(Source!BA36&lt;&gt;0,Source!BA36,1)*Source!I36)),0)</f>
        <v>529.6863629999999</v>
      </c>
      <c r="P105">
        <f>IF(Source!BI36=2,((Source!CR36/IF(Source!BB36&lt;&gt;0,Source!BB36,1)*Source!I36)+(Source!CQ36/IF(Source!BC36&lt;&gt;0,Source!BC36,1)*Source!I36)+(Source!CT36/IF(Source!BA36&lt;&gt;0,Source!BA36,1)*Source!I36)),0)</f>
        <v>0</v>
      </c>
      <c r="Q105">
        <f>IF(Source!BI36=3,((Source!CR36/IF(Source!BB36&lt;&gt;0,Source!BB36,1)*Source!I36)+(Source!CQ36/IF(Source!BC36&lt;&gt;0,Source!BC36,1)*Source!I36)+(Source!CT36/IF(Source!BA36&lt;&gt;0,Source!BA36,1)*Source!I36)),0)</f>
        <v>0</v>
      </c>
      <c r="R105">
        <f>IF(Source!BI36=4,((Source!CR36/IF(Source!BB36&lt;&gt;0,Source!BB36,1)*Source!I36)+(Source!CQ36/IF(Source!BC36&lt;&gt;0,Source!BC36,1)*Source!I36)+(Source!CT36/IF(Source!BA36&lt;&gt;0,Source!BA36,1)*Source!I36)),0)</f>
        <v>0</v>
      </c>
      <c r="U105">
        <f>IF(Source!BI36=1,Source!O36+Source!X36+Source!Y36,0)</f>
        <v>1276.54</v>
      </c>
      <c r="V105">
        <f>IF(Source!BI36=2,Source!O36+Source!X36+Source!Y36,0)</f>
        <v>0</v>
      </c>
      <c r="W105">
        <f>IF(Source!BI36=3,Source!O36+Source!X36+Source!Y36,0)</f>
        <v>0</v>
      </c>
      <c r="X105">
        <f>IF(Source!BI36=4,Source!O36+Source!X36+Source!Y36,0)</f>
        <v>0</v>
      </c>
      <c r="Y105">
        <v>13</v>
      </c>
    </row>
    <row r="106" spans="1:25" ht="84">
      <c r="A106" s="25" t="str">
        <f>Source!E37</f>
        <v>7,2</v>
      </c>
      <c r="B106" s="25" t="str">
        <f>Source!F37</f>
        <v>1.7-4-24</v>
      </c>
      <c r="C106" s="10" t="str">
        <f>Source!G37</f>
        <v>ПРОФИЛИ МЕТАЛЛИЧЕСКИЕ ДЛЯ МОНТАЖА ГИПСОВЫХ ПЕРЕГОРОДОК И ПОДВЕСНЫХ ПОТОЛКОВ СТАЛЬНЫЕ, ОЦИНКОВАННЫЕ, МАРКА ПУ-2, ПРОФИЛЬ УГЛОВОЙ, СЕЧЕНИЕ 31Х31Х0,55 ММ</v>
      </c>
      <c r="D106" s="26" t="str">
        <f>Source!H37</f>
        <v>т</v>
      </c>
      <c r="E106" s="6">
        <f>ROUND(Source!I37,6)</f>
        <v>0.03495</v>
      </c>
      <c r="F106" s="12">
        <f>IF(Source!AL37=0,Source!AK37,Source!AL37)</f>
        <v>60883.49</v>
      </c>
      <c r="G106" s="27">
        <f>Source!DD37</f>
      </c>
      <c r="H106" s="6">
        <f>Source!AW37</f>
        <v>1</v>
      </c>
      <c r="I106" s="12">
        <f>(Source!CR37/IF(Source!BB37&lt;&gt;0,Source!BB37,1)*Source!I37)+(Source!CQ37/IF(Source!BC37&lt;&gt;0,Source!BC37,1)*Source!I37)+(Source!CT37/IF(Source!BA37&lt;&gt;0,Source!BA37,1)*Source!I37)</f>
        <v>2127.8779755</v>
      </c>
      <c r="J106" s="6">
        <f>Source!BC37</f>
        <v>2.41</v>
      </c>
      <c r="K106" s="12">
        <f>Source!O37</f>
        <v>5128.19</v>
      </c>
      <c r="O106">
        <f>IF(Source!BI37=1,((Source!CR37/IF(Source!BB37&lt;&gt;0,Source!BB37,1)*Source!I37)+(Source!CQ37/IF(Source!BC37&lt;&gt;0,Source!BC37,1)*Source!I37)+(Source!CT37/IF(Source!BA37&lt;&gt;0,Source!BA37,1)*Source!I37)),0)</f>
        <v>2127.8779755</v>
      </c>
      <c r="P106">
        <f>IF(Source!BI37=2,((Source!CR37/IF(Source!BB37&lt;&gt;0,Source!BB37,1)*Source!I37)+(Source!CQ37/IF(Source!BC37&lt;&gt;0,Source!BC37,1)*Source!I37)+(Source!CT37/IF(Source!BA37&lt;&gt;0,Source!BA37,1)*Source!I37)),0)</f>
        <v>0</v>
      </c>
      <c r="Q106">
        <f>IF(Source!BI37=3,((Source!CR37/IF(Source!BB37&lt;&gt;0,Source!BB37,1)*Source!I37)+(Source!CQ37/IF(Source!BC37&lt;&gt;0,Source!BC37,1)*Source!I37)+(Source!CT37/IF(Source!BA37&lt;&gt;0,Source!BA37,1)*Source!I37)),0)</f>
        <v>0</v>
      </c>
      <c r="R106">
        <f>IF(Source!BI37=4,((Source!CR37/IF(Source!BB37&lt;&gt;0,Source!BB37,1)*Source!I37)+(Source!CQ37/IF(Source!BC37&lt;&gt;0,Source!BC37,1)*Source!I37)+(Source!CT37/IF(Source!BA37&lt;&gt;0,Source!BA37,1)*Source!I37)),0)</f>
        <v>0</v>
      </c>
      <c r="U106">
        <f>IF(Source!BI37=1,Source!O37+Source!X37+Source!Y37,0)</f>
        <v>5128.19</v>
      </c>
      <c r="V106">
        <f>IF(Source!BI37=2,Source!O37+Source!X37+Source!Y37,0)</f>
        <v>0</v>
      </c>
      <c r="W106">
        <f>IF(Source!BI37=3,Source!O37+Source!X37+Source!Y37,0)</f>
        <v>0</v>
      </c>
      <c r="X106">
        <f>IF(Source!BI37=4,Source!O37+Source!X37+Source!Y37,0)</f>
        <v>0</v>
      </c>
      <c r="Y106">
        <v>14</v>
      </c>
    </row>
    <row r="107" spans="1:25" ht="84">
      <c r="A107" s="25" t="str">
        <f>Source!E38</f>
        <v>7,3</v>
      </c>
      <c r="B107" s="25" t="str">
        <f>Source!F38</f>
        <v>1.7-4-24</v>
      </c>
      <c r="C107" s="10" t="str">
        <f>Source!G38</f>
        <v>ПРОФИЛИ МЕТАЛЛИЧЕСКИЕ ДЛЯ МОНТАЖА ГИПСОВЫХ ПЕРЕГОРОДОК И ПОДВЕСНЫХ ПОТОЛКОВ СТАЛЬНЫЕ, ОЦИНКОВАННЫЕ, МАРКА ПУ-2, ПРОФИЛЬ УГЛОВОЙ, СЕЧЕНИЕ 31Х31Х0,55 ММ</v>
      </c>
      <c r="D107" s="26" t="str">
        <f>Source!H38</f>
        <v>т</v>
      </c>
      <c r="E107" s="6">
        <f>ROUND(Source!I38,6)</f>
        <v>0.00285</v>
      </c>
      <c r="F107" s="12">
        <f>IF(Source!AL38=0,Source!AK38,Source!AL38)</f>
        <v>60883.49</v>
      </c>
      <c r="G107" s="27">
        <f>Source!DD38</f>
      </c>
      <c r="H107" s="6">
        <f>Source!AW38</f>
        <v>1</v>
      </c>
      <c r="I107" s="12">
        <f>(Source!CR38/IF(Source!BB38&lt;&gt;0,Source!BB38,1)*Source!I38)+(Source!CQ38/IF(Source!BC38&lt;&gt;0,Source!BC38,1)*Source!I38)+(Source!CT38/IF(Source!BA38&lt;&gt;0,Source!BA38,1)*Source!I38)</f>
        <v>173.51794649999997</v>
      </c>
      <c r="J107" s="6">
        <f>Source!BC38</f>
        <v>2.41</v>
      </c>
      <c r="K107" s="12">
        <f>Source!O38</f>
        <v>418.18</v>
      </c>
      <c r="O107">
        <f>IF(Source!BI38=1,((Source!CR38/IF(Source!BB38&lt;&gt;0,Source!BB38,1)*Source!I38)+(Source!CQ38/IF(Source!BC38&lt;&gt;0,Source!BC38,1)*Source!I38)+(Source!CT38/IF(Source!BA38&lt;&gt;0,Source!BA38,1)*Source!I38)),0)</f>
        <v>173.51794649999997</v>
      </c>
      <c r="P107">
        <f>IF(Source!BI38=2,((Source!CR38/IF(Source!BB38&lt;&gt;0,Source!BB38,1)*Source!I38)+(Source!CQ38/IF(Source!BC38&lt;&gt;0,Source!BC38,1)*Source!I38)+(Source!CT38/IF(Source!BA38&lt;&gt;0,Source!BA38,1)*Source!I38)),0)</f>
        <v>0</v>
      </c>
      <c r="Q107">
        <f>IF(Source!BI38=3,((Source!CR38/IF(Source!BB38&lt;&gt;0,Source!BB38,1)*Source!I38)+(Source!CQ38/IF(Source!BC38&lt;&gt;0,Source!BC38,1)*Source!I38)+(Source!CT38/IF(Source!BA38&lt;&gt;0,Source!BA38,1)*Source!I38)),0)</f>
        <v>0</v>
      </c>
      <c r="R107">
        <f>IF(Source!BI38=4,((Source!CR38/IF(Source!BB38&lt;&gt;0,Source!BB38,1)*Source!I38)+(Source!CQ38/IF(Source!BC38&lt;&gt;0,Source!BC38,1)*Source!I38)+(Source!CT38/IF(Source!BA38&lt;&gt;0,Source!BA38,1)*Source!I38)),0)</f>
        <v>0</v>
      </c>
      <c r="U107">
        <f>IF(Source!BI38=1,Source!O38+Source!X38+Source!Y38,0)</f>
        <v>418.18</v>
      </c>
      <c r="V107">
        <f>IF(Source!BI38=2,Source!O38+Source!X38+Source!Y38,0)</f>
        <v>0</v>
      </c>
      <c r="W107">
        <f>IF(Source!BI38=3,Source!O38+Source!X38+Source!Y38,0)</f>
        <v>0</v>
      </c>
      <c r="X107">
        <f>IF(Source!BI38=4,Source!O38+Source!X38+Source!Y38,0)</f>
        <v>0</v>
      </c>
      <c r="Y107">
        <v>15</v>
      </c>
    </row>
    <row r="108" spans="1:25" ht="36">
      <c r="A108" s="25" t="str">
        <f>Source!E39</f>
        <v>7,4</v>
      </c>
      <c r="B108" s="25" t="str">
        <f>Source!F39</f>
        <v>1.1-1-2661</v>
      </c>
      <c r="C108" s="10" t="str">
        <f>Source!G39</f>
        <v>ЛИСТЫ ГИПСОВОЛОКНИСТЫЕ ВЛАГОСТОЙКИЕ ГВЛВ, ТОЛЩИНА 12,5 ММ</v>
      </c>
      <c r="D108" s="26" t="str">
        <f>Source!H39</f>
        <v>м2</v>
      </c>
      <c r="E108" s="6">
        <f>ROUND(Source!I39,6)</f>
        <v>18.195</v>
      </c>
      <c r="F108" s="12">
        <f>IF(Source!AL39=0,Source!AK39,Source!AL39)</f>
        <v>28.7</v>
      </c>
      <c r="G108" s="27">
        <f>Source!DD39</f>
      </c>
      <c r="H108" s="6">
        <f>Source!AW39</f>
        <v>1</v>
      </c>
      <c r="I108" s="12">
        <f>(Source!CR39/IF(Source!BB39&lt;&gt;0,Source!BB39,1)*Source!I39)+(Source!CQ39/IF(Source!BC39&lt;&gt;0,Source!BC39,1)*Source!I39)+(Source!CT39/IF(Source!BA39&lt;&gt;0,Source!BA39,1)*Source!I39)</f>
        <v>522.1965</v>
      </c>
      <c r="J108" s="6">
        <f>Source!BC39</f>
        <v>5.26</v>
      </c>
      <c r="K108" s="12">
        <f>Source!O39</f>
        <v>2746.75</v>
      </c>
      <c r="O108">
        <f>IF(Source!BI39=1,((Source!CR39/IF(Source!BB39&lt;&gt;0,Source!BB39,1)*Source!I39)+(Source!CQ39/IF(Source!BC39&lt;&gt;0,Source!BC39,1)*Source!I39)+(Source!CT39/IF(Source!BA39&lt;&gt;0,Source!BA39,1)*Source!I39)),0)</f>
        <v>522.1965</v>
      </c>
      <c r="P108">
        <f>IF(Source!BI39=2,((Source!CR39/IF(Source!BB39&lt;&gt;0,Source!BB39,1)*Source!I39)+(Source!CQ39/IF(Source!BC39&lt;&gt;0,Source!BC39,1)*Source!I39)+(Source!CT39/IF(Source!BA39&lt;&gt;0,Source!BA39,1)*Source!I39)),0)</f>
        <v>0</v>
      </c>
      <c r="Q108">
        <f>IF(Source!BI39=3,((Source!CR39/IF(Source!BB39&lt;&gt;0,Source!BB39,1)*Source!I39)+(Source!CQ39/IF(Source!BC39&lt;&gt;0,Source!BC39,1)*Source!I39)+(Source!CT39/IF(Source!BA39&lt;&gt;0,Source!BA39,1)*Source!I39)),0)</f>
        <v>0</v>
      </c>
      <c r="R108">
        <f>IF(Source!BI39=4,((Source!CR39/IF(Source!BB39&lt;&gt;0,Source!BB39,1)*Source!I39)+(Source!CQ39/IF(Source!BC39&lt;&gt;0,Source!BC39,1)*Source!I39)+(Source!CT39/IF(Source!BA39&lt;&gt;0,Source!BA39,1)*Source!I39)),0)</f>
        <v>0</v>
      </c>
      <c r="U108">
        <f>IF(Source!BI39=1,Source!O39+Source!X39+Source!Y39,0)</f>
        <v>2746.75</v>
      </c>
      <c r="V108">
        <f>IF(Source!BI39=2,Source!O39+Source!X39+Source!Y39,0)</f>
        <v>0</v>
      </c>
      <c r="W108">
        <f>IF(Source!BI39=3,Source!O39+Source!X39+Source!Y39,0)</f>
        <v>0</v>
      </c>
      <c r="X108">
        <f>IF(Source!BI39=4,Source!O39+Source!X39+Source!Y39,0)</f>
        <v>0</v>
      </c>
      <c r="Y108">
        <v>16</v>
      </c>
    </row>
    <row r="109" spans="1:11" ht="12.75">
      <c r="A109" s="6"/>
      <c r="B109" s="6"/>
      <c r="C109" s="6" t="s">
        <v>232</v>
      </c>
      <c r="D109" s="6" t="s">
        <v>233</v>
      </c>
      <c r="E109" s="6">
        <f>Source!DN35</f>
        <v>91</v>
      </c>
      <c r="F109" s="6"/>
      <c r="G109" s="6"/>
      <c r="H109" s="6"/>
      <c r="I109" s="12">
        <f>(E109/100)*(Source!CT35/IF(Source!BA35&lt;&gt;0,Source!BA35,1)*Source!I35)</f>
        <v>354.92047499999995</v>
      </c>
      <c r="J109" s="6">
        <f>Source!AT35</f>
        <v>77</v>
      </c>
      <c r="K109" s="12">
        <f>Source!X35</f>
        <v>5117.4</v>
      </c>
    </row>
    <row r="110" spans="1:11" ht="12.75">
      <c r="A110" s="6"/>
      <c r="B110" s="6"/>
      <c r="C110" s="6" t="s">
        <v>234</v>
      </c>
      <c r="D110" s="6" t="s">
        <v>233</v>
      </c>
      <c r="E110" s="6">
        <f>Source!DO35</f>
        <v>70</v>
      </c>
      <c r="F110" s="6"/>
      <c r="G110" s="6"/>
      <c r="H110" s="6"/>
      <c r="I110" s="12">
        <f>(E110/100)*(Source!CT35/IF(Source!BA35&lt;&gt;0,Source!BA35,1)*Source!I35)</f>
        <v>273.0157499999999</v>
      </c>
      <c r="J110" s="6">
        <f>Source!AU35</f>
        <v>44</v>
      </c>
      <c r="K110" s="12">
        <f>Source!Y35</f>
        <v>2924.23</v>
      </c>
    </row>
    <row r="111" spans="1:11" ht="12.75">
      <c r="A111" s="6"/>
      <c r="B111" s="6"/>
      <c r="C111" s="6" t="s">
        <v>235</v>
      </c>
      <c r="D111" s="6" t="s">
        <v>233</v>
      </c>
      <c r="E111" s="6">
        <v>175</v>
      </c>
      <c r="F111" s="6"/>
      <c r="G111" s="6"/>
      <c r="H111" s="6"/>
      <c r="I111" s="12">
        <f>(Source!CS35/IF(Source!BS35&lt;&gt;0,Source!BS35,1)*Source!I35)*1.75</f>
        <v>0.9778125</v>
      </c>
      <c r="J111" s="6">
        <v>167</v>
      </c>
      <c r="K111" s="12">
        <f>Source!R35*J111/100</f>
        <v>15.898399999999999</v>
      </c>
    </row>
    <row r="112" spans="1:11" ht="12.75">
      <c r="A112" s="29"/>
      <c r="B112" s="29"/>
      <c r="C112" s="29" t="s">
        <v>236</v>
      </c>
      <c r="D112" s="29" t="s">
        <v>237</v>
      </c>
      <c r="E112" s="29">
        <f>Source!AQ35</f>
        <v>190</v>
      </c>
      <c r="F112" s="29"/>
      <c r="G112" s="30" t="str">
        <f>Source!DI35</f>
        <v>*1,15</v>
      </c>
      <c r="H112" s="29">
        <f>Source!AV35</f>
        <v>1</v>
      </c>
      <c r="I112" s="31">
        <f>ROUND(Source!U35,2)</f>
        <v>32.78</v>
      </c>
      <c r="J112" s="29"/>
      <c r="K112" s="29"/>
    </row>
    <row r="113" spans="9:24" ht="12.75">
      <c r="I113" s="32">
        <f>(Source!CT35/IF(Source!BA35&lt;&gt;0,Source!BA35,1)*Source!I35)+(Source!CR35/IF(Source!BB35&lt;&gt;0,Source!BB35,1)*Source!I35)+SUM(I104:I111)</f>
        <v>4799.8908225000005</v>
      </c>
      <c r="J113" s="9"/>
      <c r="K113" s="32">
        <f>Source!S35+Source!Q35+SUM(K104:K111)</f>
        <v>25208.658399999997</v>
      </c>
      <c r="L113">
        <f>(Source!CT35/IF(Source!BA35&lt;&gt;0,Source!BA35,1)*Source!I35)</f>
        <v>390.0224999999999</v>
      </c>
      <c r="M113" s="13">
        <f>I113</f>
        <v>4799.8908225000005</v>
      </c>
      <c r="O113">
        <f>IF(Source!BI35=1,((Source!CT35/IF(Source!BA35&lt;&gt;0,Source!BA35,1)*Source!I35)+(Source!CR35/IF(Source!BB35&lt;&gt;0,Source!BB35,1)*Source!I35)+(Source!CQ35/IF(Source!BC35&lt;&gt;0,Source!BC35,1)*Source!I35)+((Source!DN35/100)*(Source!CT35/IF(Source!BA35&lt;&gt;0,Source!BA35,1)*Source!I35))+((Source!DO35/100)*(Source!CT35/IF(Source!BA35&lt;&gt;0,Source!BA35,1)*Source!I35))+((Source!CS35/IF(Source!BS35&lt;&gt;0,Source!BS35,1)*Source!I35)*1.75)),0)</f>
        <v>1446.6120374999998</v>
      </c>
      <c r="P113">
        <f>IF(Source!BI35=2,((Source!CT35/IF(Source!BA35&lt;&gt;0,Source!BA35,1)*Source!I35)+(Source!CR35/IF(Source!BB35&lt;&gt;0,Source!BB35,1)*Source!I35)+(Source!CQ35/IF(Source!BC35&lt;&gt;0,Source!BC35,1)*Source!I35)+((Source!DN35/100)*(Source!CT35/IF(Source!BA35&lt;&gt;0,Source!BA35,1)*Source!I35))+((Source!DO35/100)*(Source!CT35/IF(Source!BA35&lt;&gt;0,Source!BA35,1)*Source!I35))+((Source!CS35/IF(Source!BS35&lt;&gt;0,Source!BS35,1)*Source!I35)*1.75)),0)</f>
        <v>0</v>
      </c>
      <c r="Q113">
        <f>IF(Source!BI35=3,((Source!CT35/IF(Source!BA35&lt;&gt;0,Source!BA35,1)*Source!I35)+(Source!CR35/IF(Source!BB35&lt;&gt;0,Source!BB35,1)*Source!I35)+(Source!CQ35/IF(Source!BC35&lt;&gt;0,Source!BC35,1)*Source!I35)+((Source!DN35/100)*(Source!CT35/IF(Source!BA35&lt;&gt;0,Source!BA35,1)*Source!I35))+((Source!DO35/100)*(Source!CT35/IF(Source!BA35&lt;&gt;0,Source!BA35,1)*Source!I35))+((Source!CS35/IF(Source!BS35&lt;&gt;0,Source!BS35,1)*Source!I35)*1.75)),0)</f>
        <v>0</v>
      </c>
      <c r="R113">
        <f>IF(Source!BI35=4,((Source!CT35/IF(Source!BA35&lt;&gt;0,Source!BA35,1)*Source!I35)+(Source!CR35/IF(Source!BB35&lt;&gt;0,Source!BB35,1)*Source!I35)+(Source!CQ35/IF(Source!BC35&lt;&gt;0,Source!BC35,1)*Source!I35)+((Source!DN35/100)*(Source!CT35/IF(Source!BA35&lt;&gt;0,Source!BA35,1)*Source!I35))+((Source!DO35/100)*(Source!CT35/IF(Source!BA35&lt;&gt;0,Source!BA35,1)*Source!I35))+((Source!CS35/IF(Source!BS35&lt;&gt;0,Source!BS35,1)*Source!I35)*1.75)),0)</f>
        <v>0</v>
      </c>
      <c r="U113">
        <f>IF(Source!BI35=1,Source!O35+Source!X35+Source!Y35+Source!R35*167/100,0)</f>
        <v>15638.998399999999</v>
      </c>
      <c r="V113">
        <f>IF(Source!BI35=2,Source!O35+Source!X35+Source!Y35+Source!R35*167/100,0)</f>
        <v>0</v>
      </c>
      <c r="W113">
        <f>IF(Source!BI35=3,Source!O35+Source!X35+Source!Y35+Source!R35*167/100,0)</f>
        <v>0</v>
      </c>
      <c r="X113">
        <f>IF(Source!BI35=4,Source!O35+Source!X35+Source!Y35+Source!R35*167/100,0)</f>
        <v>0</v>
      </c>
    </row>
    <row r="114" spans="1:25" ht="84">
      <c r="A114" s="25" t="str">
        <f>Source!E40</f>
        <v>8</v>
      </c>
      <c r="B114" s="25" t="str">
        <f>Source!F40</f>
        <v>3.10-72-1</v>
      </c>
      <c r="C114" s="10" t="str">
        <f>Source!G40</f>
        <v>ОФОРМЛЕНИЕ (ОБДЕЛКА) ДВЕРНЫХ ПРОЕМОВ В ПЕРЕГОРОДКАХ ИЗ ГИПСОКАРТОННЫХ ЛИСТОВ ТОЛЩИНОЙ 12,5 ММ С КАРКАСОМ ИЗ СТАЛЬНЫХ ОЦИНКОВАННЫХ ПРОФИЛЕЙ ПС, ПП</v>
      </c>
      <c r="D114" s="26" t="str">
        <f>Source!H40</f>
        <v>100 м2</v>
      </c>
      <c r="E114" s="6">
        <f>ROUND(Source!I40,6)</f>
        <v>0.02</v>
      </c>
      <c r="F114" s="6"/>
      <c r="G114" s="6"/>
      <c r="H114" s="6"/>
      <c r="I114" s="6"/>
      <c r="J114" s="6"/>
      <c r="K114" s="6"/>
      <c r="Y114">
        <v>17</v>
      </c>
    </row>
    <row r="115" spans="1:11" ht="12.75">
      <c r="A115" s="6"/>
      <c r="B115" s="6"/>
      <c r="C115" s="6" t="s">
        <v>229</v>
      </c>
      <c r="D115" s="6"/>
      <c r="E115" s="6"/>
      <c r="F115" s="12">
        <f>Source!AO40</f>
        <v>509.91</v>
      </c>
      <c r="G115" s="27" t="str">
        <f>Source!DG40</f>
        <v>*1,15</v>
      </c>
      <c r="H115" s="6">
        <f>Source!AV40</f>
        <v>1</v>
      </c>
      <c r="I115" s="12">
        <f>(Source!CT40/IF(Source!BA40&lt;&gt;0,Source!BA40,1)*Source!I40)</f>
        <v>11.727929999999999</v>
      </c>
      <c r="J115" s="6">
        <f>Source!BA40</f>
        <v>17.04</v>
      </c>
      <c r="K115" s="12">
        <f>Source!S40</f>
        <v>199.84</v>
      </c>
    </row>
    <row r="116" spans="1:11" ht="12.75">
      <c r="A116" s="6"/>
      <c r="B116" s="6"/>
      <c r="C116" s="6" t="s">
        <v>230</v>
      </c>
      <c r="D116" s="6"/>
      <c r="E116" s="6"/>
      <c r="F116" s="12">
        <f>Source!AM40</f>
        <v>4.76</v>
      </c>
      <c r="G116" s="27" t="str">
        <f>Source!DE40</f>
        <v>*1,25</v>
      </c>
      <c r="H116" s="6">
        <f>Source!AV40</f>
        <v>1</v>
      </c>
      <c r="I116" s="12">
        <f>(Source!CR40/IF(Source!BB40&lt;&gt;0,Source!BB40,1)*Source!I40)</f>
        <v>0.119</v>
      </c>
      <c r="J116" s="6">
        <f>Source!BB40</f>
        <v>8.97</v>
      </c>
      <c r="K116" s="12">
        <f>Source!Q40</f>
        <v>1.07</v>
      </c>
    </row>
    <row r="117" spans="1:12" ht="12.75">
      <c r="A117" s="6"/>
      <c r="B117" s="6"/>
      <c r="C117" s="6" t="s">
        <v>231</v>
      </c>
      <c r="D117" s="6"/>
      <c r="E117" s="6"/>
      <c r="F117" s="12">
        <f>Source!AN40</f>
        <v>1.13</v>
      </c>
      <c r="G117" s="27" t="str">
        <f>Source!DF40</f>
        <v>*1,25</v>
      </c>
      <c r="H117" s="6">
        <f>Source!AV40</f>
        <v>1</v>
      </c>
      <c r="I117" s="28" t="str">
        <f>CONCATENATE("(",TEXT(+(Source!CS40/IF(J117&lt;&gt;0,J117,1)*Source!I40),"0,00"),")")</f>
        <v>(0,03)</v>
      </c>
      <c r="J117" s="6">
        <f>Source!BS40</f>
        <v>17.04</v>
      </c>
      <c r="K117" s="28" t="str">
        <f>CONCATENATE("(",TEXT(+Source!R40,"0,00"),")")</f>
        <v>(0,48)</v>
      </c>
      <c r="L117">
        <f>IF(J117&lt;&gt;0,Source!R40/J117,Source!R40)</f>
        <v>0.028169014084507043</v>
      </c>
    </row>
    <row r="118" spans="1:11" ht="12.75">
      <c r="A118" s="6"/>
      <c r="B118" s="6"/>
      <c r="C118" s="6" t="s">
        <v>238</v>
      </c>
      <c r="D118" s="6"/>
      <c r="E118" s="6"/>
      <c r="F118" s="12">
        <f>Source!AL40</f>
        <v>312.37</v>
      </c>
      <c r="G118" s="6">
        <f>Source!DD40</f>
      </c>
      <c r="H118" s="6">
        <f>Source!AW40</f>
        <v>1</v>
      </c>
      <c r="I118" s="12">
        <f>(Source!CQ40/IF(Source!BC40&lt;&gt;0,Source!BC40,1)*Source!I40)</f>
        <v>6.2474</v>
      </c>
      <c r="J118" s="6">
        <f>Source!BC40</f>
        <v>1.39</v>
      </c>
      <c r="K118" s="12">
        <f>Source!P40</f>
        <v>8.68</v>
      </c>
    </row>
    <row r="119" spans="1:25" ht="84">
      <c r="A119" s="25" t="str">
        <f>Source!E41</f>
        <v>8,1</v>
      </c>
      <c r="B119" s="25" t="str">
        <f>Source!F41</f>
        <v>1.7-4-24</v>
      </c>
      <c r="C119" s="10" t="str">
        <f>Source!G41</f>
        <v>ПРОФИЛИ МЕТАЛЛИЧЕСКИЕ ДЛЯ МОНТАЖА ГИПСОВЫХ ПЕРЕГОРОДОК И ПОДВЕСНЫХ ПОТОЛКОВ СТАЛЬНЫЕ, ОЦИНКОВАННЫЕ, МАРКА ПУ-2, ПРОФИЛЬ УГЛОВОЙ, СЕЧЕНИЕ 31Х31Х0,55 ММ</v>
      </c>
      <c r="D119" s="26" t="str">
        <f>Source!H41</f>
        <v>т</v>
      </c>
      <c r="E119" s="6">
        <f>ROUND(Source!I41,6)</f>
        <v>0.000533</v>
      </c>
      <c r="F119" s="12">
        <f>IF(Source!AL41=0,Source!AK41,Source!AL41)</f>
        <v>60883.49</v>
      </c>
      <c r="G119" s="27">
        <f>Source!DD41</f>
      </c>
      <c r="H119" s="6">
        <f>Source!AW41</f>
        <v>1</v>
      </c>
      <c r="I119" s="12">
        <f>(Source!CR41/IF(Source!BB41&lt;&gt;0,Source!BB41,1)*Source!I41)+(Source!CQ41/IF(Source!BC41&lt;&gt;0,Source!BC41,1)*Source!I41)+(Source!CT41/IF(Source!BA41&lt;&gt;0,Source!BA41,1)*Source!I41)</f>
        <v>32.475253566</v>
      </c>
      <c r="J119" s="6">
        <f>Source!BC41</f>
        <v>2.41</v>
      </c>
      <c r="K119" s="12">
        <f>Source!O41</f>
        <v>78.27</v>
      </c>
      <c r="O119">
        <f>IF(Source!BI41=1,((Source!CR41/IF(Source!BB41&lt;&gt;0,Source!BB41,1)*Source!I41)+(Source!CQ41/IF(Source!BC41&lt;&gt;0,Source!BC41,1)*Source!I41)+(Source!CT41/IF(Source!BA41&lt;&gt;0,Source!BA41,1)*Source!I41)),0)</f>
        <v>32.475253566</v>
      </c>
      <c r="P119">
        <f>IF(Source!BI41=2,((Source!CR41/IF(Source!BB41&lt;&gt;0,Source!BB41,1)*Source!I41)+(Source!CQ41/IF(Source!BC41&lt;&gt;0,Source!BC41,1)*Source!I41)+(Source!CT41/IF(Source!BA41&lt;&gt;0,Source!BA41,1)*Source!I41)),0)</f>
        <v>0</v>
      </c>
      <c r="Q119">
        <f>IF(Source!BI41=3,((Source!CR41/IF(Source!BB41&lt;&gt;0,Source!BB41,1)*Source!I41)+(Source!CQ41/IF(Source!BC41&lt;&gt;0,Source!BC41,1)*Source!I41)+(Source!CT41/IF(Source!BA41&lt;&gt;0,Source!BA41,1)*Source!I41)),0)</f>
        <v>0</v>
      </c>
      <c r="R119">
        <f>IF(Source!BI41=4,((Source!CR41/IF(Source!BB41&lt;&gt;0,Source!BB41,1)*Source!I41)+(Source!CQ41/IF(Source!BC41&lt;&gt;0,Source!BC41,1)*Source!I41)+(Source!CT41/IF(Source!BA41&lt;&gt;0,Source!BA41,1)*Source!I41)),0)</f>
        <v>0</v>
      </c>
      <c r="U119">
        <f>IF(Source!BI41=1,Source!O41+Source!X41+Source!Y41,0)</f>
        <v>78.27</v>
      </c>
      <c r="V119">
        <f>IF(Source!BI41=2,Source!O41+Source!X41+Source!Y41,0)</f>
        <v>0</v>
      </c>
      <c r="W119">
        <f>IF(Source!BI41=3,Source!O41+Source!X41+Source!Y41,0)</f>
        <v>0</v>
      </c>
      <c r="X119">
        <f>IF(Source!BI41=4,Source!O41+Source!X41+Source!Y41,0)</f>
        <v>0</v>
      </c>
      <c r="Y119">
        <v>18</v>
      </c>
    </row>
    <row r="120" spans="1:25" ht="84">
      <c r="A120" s="25" t="str">
        <f>Source!E42</f>
        <v>8,2</v>
      </c>
      <c r="B120" s="25" t="str">
        <f>Source!F42</f>
        <v>1.7-4-24</v>
      </c>
      <c r="C120" s="10" t="str">
        <f>Source!G42</f>
        <v>ПРОФИЛИ МЕТАЛЛИЧЕСКИЕ ДЛЯ МОНТАЖА ГИПСОВЫХ ПЕРЕГОРОДОК И ПОДВЕСНЫХ ПОТОЛКОВ СТАЛЬНЫЕ, ОЦИНКОВАННЫЕ, МАРКА ПУ-2, ПРОФИЛЬ УГЛОВОЙ, СЕЧЕНИЕ 31Х31Х0,55 ММ</v>
      </c>
      <c r="D120" s="26" t="str">
        <f>Source!H42</f>
        <v>т</v>
      </c>
      <c r="E120" s="6">
        <f>ROUND(Source!I42,6)</f>
        <v>0.001633</v>
      </c>
      <c r="F120" s="12">
        <f>IF(Source!AL42=0,Source!AK42,Source!AL42)</f>
        <v>60883.49</v>
      </c>
      <c r="G120" s="27">
        <f>Source!DD42</f>
      </c>
      <c r="H120" s="6">
        <f>Source!AW42</f>
        <v>1</v>
      </c>
      <c r="I120" s="12">
        <f>(Source!CR42/IF(Source!BB42&lt;&gt;0,Source!BB42,1)*Source!I42)+(Source!CQ42/IF(Source!BC42&lt;&gt;0,Source!BC42,1)*Source!I42)+(Source!CT42/IF(Source!BA42&lt;&gt;0,Source!BA42,1)*Source!I42)</f>
        <v>99.42273917</v>
      </c>
      <c r="J120" s="6">
        <f>Source!BC42</f>
        <v>2.41</v>
      </c>
      <c r="K120" s="12">
        <f>Source!O42</f>
        <v>239.61</v>
      </c>
      <c r="O120">
        <f>IF(Source!BI42=1,((Source!CR42/IF(Source!BB42&lt;&gt;0,Source!BB42,1)*Source!I42)+(Source!CQ42/IF(Source!BC42&lt;&gt;0,Source!BC42,1)*Source!I42)+(Source!CT42/IF(Source!BA42&lt;&gt;0,Source!BA42,1)*Source!I42)),0)</f>
        <v>99.42273917</v>
      </c>
      <c r="P120">
        <f>IF(Source!BI42=2,((Source!CR42/IF(Source!BB42&lt;&gt;0,Source!BB42,1)*Source!I42)+(Source!CQ42/IF(Source!BC42&lt;&gt;0,Source!BC42,1)*Source!I42)+(Source!CT42/IF(Source!BA42&lt;&gt;0,Source!BA42,1)*Source!I42)),0)</f>
        <v>0</v>
      </c>
      <c r="Q120">
        <f>IF(Source!BI42=3,((Source!CR42/IF(Source!BB42&lt;&gt;0,Source!BB42,1)*Source!I42)+(Source!CQ42/IF(Source!BC42&lt;&gt;0,Source!BC42,1)*Source!I42)+(Source!CT42/IF(Source!BA42&lt;&gt;0,Source!BA42,1)*Source!I42)),0)</f>
        <v>0</v>
      </c>
      <c r="R120">
        <f>IF(Source!BI42=4,((Source!CR42/IF(Source!BB42&lt;&gt;0,Source!BB42,1)*Source!I42)+(Source!CQ42/IF(Source!BC42&lt;&gt;0,Source!BC42,1)*Source!I42)+(Source!CT42/IF(Source!BA42&lt;&gt;0,Source!BA42,1)*Source!I42)),0)</f>
        <v>0</v>
      </c>
      <c r="U120">
        <f>IF(Source!BI42=1,Source!O42+Source!X42+Source!Y42,0)</f>
        <v>239.61</v>
      </c>
      <c r="V120">
        <f>IF(Source!BI42=2,Source!O42+Source!X42+Source!Y42,0)</f>
        <v>0</v>
      </c>
      <c r="W120">
        <f>IF(Source!BI42=3,Source!O42+Source!X42+Source!Y42,0)</f>
        <v>0</v>
      </c>
      <c r="X120">
        <f>IF(Source!BI42=4,Source!O42+Source!X42+Source!Y42,0)</f>
        <v>0</v>
      </c>
      <c r="Y120">
        <v>19</v>
      </c>
    </row>
    <row r="121" spans="1:11" ht="12.75">
      <c r="A121" s="6"/>
      <c r="B121" s="6"/>
      <c r="C121" s="6" t="s">
        <v>232</v>
      </c>
      <c r="D121" s="6" t="s">
        <v>233</v>
      </c>
      <c r="E121" s="6">
        <f>Source!DN40</f>
        <v>91</v>
      </c>
      <c r="F121" s="6"/>
      <c r="G121" s="6"/>
      <c r="H121" s="6"/>
      <c r="I121" s="12">
        <f>(E121/100)*(Source!CT40/IF(Source!BA40&lt;&gt;0,Source!BA40,1)*Source!I40)</f>
        <v>10.6724163</v>
      </c>
      <c r="J121" s="6">
        <f>Source!AT40</f>
        <v>77</v>
      </c>
      <c r="K121" s="12">
        <f>Source!X40</f>
        <v>153.88</v>
      </c>
    </row>
    <row r="122" spans="1:11" ht="12.75">
      <c r="A122" s="6"/>
      <c r="B122" s="6"/>
      <c r="C122" s="6" t="s">
        <v>234</v>
      </c>
      <c r="D122" s="6" t="s">
        <v>233</v>
      </c>
      <c r="E122" s="6">
        <f>Source!DO40</f>
        <v>70</v>
      </c>
      <c r="F122" s="6"/>
      <c r="G122" s="6"/>
      <c r="H122" s="6"/>
      <c r="I122" s="12">
        <f>(E122/100)*(Source!CT40/IF(Source!BA40&lt;&gt;0,Source!BA40,1)*Source!I40)</f>
        <v>8.209551</v>
      </c>
      <c r="J122" s="6">
        <f>Source!AU40</f>
        <v>44</v>
      </c>
      <c r="K122" s="12">
        <f>Source!Y40</f>
        <v>87.93</v>
      </c>
    </row>
    <row r="123" spans="1:11" ht="12.75">
      <c r="A123" s="6"/>
      <c r="B123" s="6"/>
      <c r="C123" s="6" t="s">
        <v>235</v>
      </c>
      <c r="D123" s="6" t="s">
        <v>233</v>
      </c>
      <c r="E123" s="6">
        <v>175</v>
      </c>
      <c r="F123" s="6"/>
      <c r="G123" s="6"/>
      <c r="H123" s="6"/>
      <c r="I123" s="12">
        <f>(Source!CS40/IF(Source!BS40&lt;&gt;0,Source!BS40,1)*Source!I40)*1.75</f>
        <v>0.049437499999999995</v>
      </c>
      <c r="J123" s="6">
        <v>167</v>
      </c>
      <c r="K123" s="12">
        <f>Source!R40*J123/100</f>
        <v>0.8016</v>
      </c>
    </row>
    <row r="124" spans="1:11" ht="12.75">
      <c r="A124" s="29"/>
      <c r="B124" s="29"/>
      <c r="C124" s="29" t="s">
        <v>236</v>
      </c>
      <c r="D124" s="29" t="s">
        <v>237</v>
      </c>
      <c r="E124" s="29">
        <f>Source!AQ40</f>
        <v>41.83</v>
      </c>
      <c r="F124" s="29"/>
      <c r="G124" s="30" t="str">
        <f>Source!DI40</f>
        <v>*1,15</v>
      </c>
      <c r="H124" s="29">
        <f>Source!AV40</f>
        <v>1</v>
      </c>
      <c r="I124" s="31">
        <f>ROUND(Source!U40,2)</f>
        <v>0.96</v>
      </c>
      <c r="J124" s="29"/>
      <c r="K124" s="29"/>
    </row>
    <row r="125" spans="9:24" ht="12.75">
      <c r="I125" s="32">
        <f>(Source!CT40/IF(Source!BA40&lt;&gt;0,Source!BA40,1)*Source!I40)+(Source!CR40/IF(Source!BB40&lt;&gt;0,Source!BB40,1)*Source!I40)+SUM(I118:I123)</f>
        <v>168.923727536</v>
      </c>
      <c r="J125" s="9"/>
      <c r="K125" s="32">
        <f>Source!S40+Source!Q40+SUM(K118:K123)</f>
        <v>770.0816</v>
      </c>
      <c r="L125">
        <f>(Source!CT40/IF(Source!BA40&lt;&gt;0,Source!BA40,1)*Source!I40)</f>
        <v>11.727929999999999</v>
      </c>
      <c r="M125" s="13">
        <f>I125</f>
        <v>168.923727536</v>
      </c>
      <c r="O125">
        <f>IF(Source!BI40=1,((Source!CT40/IF(Source!BA40&lt;&gt;0,Source!BA40,1)*Source!I40)+(Source!CR40/IF(Source!BB40&lt;&gt;0,Source!BB40,1)*Source!I40)+(Source!CQ40/IF(Source!BC40&lt;&gt;0,Source!BC40,1)*Source!I40)+((Source!DN40/100)*(Source!CT40/IF(Source!BA40&lt;&gt;0,Source!BA40,1)*Source!I40))+((Source!DO40/100)*(Source!CT40/IF(Source!BA40&lt;&gt;0,Source!BA40,1)*Source!I40))+((Source!CS40/IF(Source!BS40&lt;&gt;0,Source!BS40,1)*Source!I40)*1.75)),0)</f>
        <v>37.0257348</v>
      </c>
      <c r="P125">
        <f>IF(Source!BI40=2,((Source!CT40/IF(Source!BA40&lt;&gt;0,Source!BA40,1)*Source!I40)+(Source!CR40/IF(Source!BB40&lt;&gt;0,Source!BB40,1)*Source!I40)+(Source!CQ40/IF(Source!BC40&lt;&gt;0,Source!BC40,1)*Source!I40)+((Source!DN40/100)*(Source!CT40/IF(Source!BA40&lt;&gt;0,Source!BA40,1)*Source!I40))+((Source!DO40/100)*(Source!CT40/IF(Source!BA40&lt;&gt;0,Source!BA40,1)*Source!I40))+((Source!CS40/IF(Source!BS40&lt;&gt;0,Source!BS40,1)*Source!I40)*1.75)),0)</f>
        <v>0</v>
      </c>
      <c r="Q125">
        <f>IF(Source!BI40=3,((Source!CT40/IF(Source!BA40&lt;&gt;0,Source!BA40,1)*Source!I40)+(Source!CR40/IF(Source!BB40&lt;&gt;0,Source!BB40,1)*Source!I40)+(Source!CQ40/IF(Source!BC40&lt;&gt;0,Source!BC40,1)*Source!I40)+((Source!DN40/100)*(Source!CT40/IF(Source!BA40&lt;&gt;0,Source!BA40,1)*Source!I40))+((Source!DO40/100)*(Source!CT40/IF(Source!BA40&lt;&gt;0,Source!BA40,1)*Source!I40))+((Source!CS40/IF(Source!BS40&lt;&gt;0,Source!BS40,1)*Source!I40)*1.75)),0)</f>
        <v>0</v>
      </c>
      <c r="R125">
        <f>IF(Source!BI40=4,((Source!CT40/IF(Source!BA40&lt;&gt;0,Source!BA40,1)*Source!I40)+(Source!CR40/IF(Source!BB40&lt;&gt;0,Source!BB40,1)*Source!I40)+(Source!CQ40/IF(Source!BC40&lt;&gt;0,Source!BC40,1)*Source!I40)+((Source!DN40/100)*(Source!CT40/IF(Source!BA40&lt;&gt;0,Source!BA40,1)*Source!I40))+((Source!DO40/100)*(Source!CT40/IF(Source!BA40&lt;&gt;0,Source!BA40,1)*Source!I40))+((Source!CS40/IF(Source!BS40&lt;&gt;0,Source!BS40,1)*Source!I40)*1.75)),0)</f>
        <v>0</v>
      </c>
      <c r="U125">
        <f>IF(Source!BI40=1,Source!O40+Source!X40+Source!Y40+Source!R40*167/100,0)</f>
        <v>452.20160000000004</v>
      </c>
      <c r="V125">
        <f>IF(Source!BI40=2,Source!O40+Source!X40+Source!Y40+Source!R40*167/100,0)</f>
        <v>0</v>
      </c>
      <c r="W125">
        <f>IF(Source!BI40=3,Source!O40+Source!X40+Source!Y40+Source!R40*167/100,0)</f>
        <v>0</v>
      </c>
      <c r="X125">
        <f>IF(Source!BI40=4,Source!O40+Source!X40+Source!Y40+Source!R40*167/100,0)</f>
        <v>0</v>
      </c>
    </row>
    <row r="126" spans="1:25" ht="60">
      <c r="A126" s="25" t="str">
        <f>Source!E43</f>
        <v>9</v>
      </c>
      <c r="B126" s="25" t="str">
        <f>Source!F43</f>
        <v>3.10-73-1</v>
      </c>
      <c r="C126" s="10" t="str">
        <f>Source!G43</f>
        <v>УСТАНОВКА ДЕРЕВЯННЫХ ДВЕРНЫХ БЛОКОВ В ПРОЕМЫ ПЕРЕГОРОДОК ИЗ ГИПСОКАРТОННЫХ ЛИСТОВ ТОЛЩИНОЙ 12,5 ММ</v>
      </c>
      <c r="D126" s="26" t="str">
        <f>Source!H43</f>
        <v>100 м2</v>
      </c>
      <c r="E126" s="6">
        <f>ROUND(Source!I43,6)</f>
        <v>0.018</v>
      </c>
      <c r="F126" s="6"/>
      <c r="G126" s="6"/>
      <c r="H126" s="6"/>
      <c r="I126" s="6"/>
      <c r="J126" s="6"/>
      <c r="K126" s="6"/>
      <c r="Y126">
        <v>20</v>
      </c>
    </row>
    <row r="127" spans="1:11" ht="12.75">
      <c r="A127" s="6"/>
      <c r="B127" s="6"/>
      <c r="C127" s="6" t="s">
        <v>229</v>
      </c>
      <c r="D127" s="6"/>
      <c r="E127" s="6"/>
      <c r="F127" s="12">
        <f>Source!AO43</f>
        <v>769.64</v>
      </c>
      <c r="G127" s="27" t="str">
        <f>Source!DG43</f>
        <v>)*1,15</v>
      </c>
      <c r="H127" s="6">
        <f>Source!AV43</f>
        <v>1</v>
      </c>
      <c r="I127" s="12">
        <f>(Source!CT43/IF(Source!BA43&lt;&gt;0,Source!BA43,1)*Source!I43)</f>
        <v>15.931547999999998</v>
      </c>
      <c r="J127" s="6">
        <f>Source!BA43</f>
        <v>17.04</v>
      </c>
      <c r="K127" s="12">
        <f>Source!S43</f>
        <v>271.47</v>
      </c>
    </row>
    <row r="128" spans="1:11" ht="12.75">
      <c r="A128" s="6"/>
      <c r="B128" s="6"/>
      <c r="C128" s="6" t="s">
        <v>230</v>
      </c>
      <c r="D128" s="6"/>
      <c r="E128" s="6"/>
      <c r="F128" s="12">
        <f>Source!AM43</f>
        <v>269.35</v>
      </c>
      <c r="G128" s="27" t="str">
        <f>Source!DE43</f>
        <v>)*1,25</v>
      </c>
      <c r="H128" s="6">
        <f>Source!AV43</f>
        <v>1</v>
      </c>
      <c r="I128" s="12">
        <f>(Source!CR43/IF(Source!BB43&lt;&gt;0,Source!BB43,1)*Source!I43)</f>
        <v>6.060375</v>
      </c>
      <c r="J128" s="6">
        <f>Source!BB43</f>
        <v>8.4</v>
      </c>
      <c r="K128" s="12">
        <f>Source!Q43</f>
        <v>50.91</v>
      </c>
    </row>
    <row r="129" spans="1:12" ht="12.75">
      <c r="A129" s="6"/>
      <c r="B129" s="6"/>
      <c r="C129" s="6" t="s">
        <v>231</v>
      </c>
      <c r="D129" s="6"/>
      <c r="E129" s="6"/>
      <c r="F129" s="12">
        <f>Source!AN43</f>
        <v>71.08</v>
      </c>
      <c r="G129" s="27" t="str">
        <f>Source!DF43</f>
        <v>)*1,25</v>
      </c>
      <c r="H129" s="6">
        <f>Source!AV43</f>
        <v>1</v>
      </c>
      <c r="I129" s="28" t="str">
        <f>CONCATENATE("(",TEXT(+(Source!CS43/IF(J129&lt;&gt;0,J129,1)*Source!I43),"0,00"),")")</f>
        <v>(1,60)</v>
      </c>
      <c r="J129" s="6">
        <f>Source!BS43</f>
        <v>17.04</v>
      </c>
      <c r="K129" s="28" t="str">
        <f>CONCATENATE("(",TEXT(+Source!R43,"0,00"),")")</f>
        <v>(27,25)</v>
      </c>
      <c r="L129">
        <f>IF(J129&lt;&gt;0,Source!R43/J129,Source!R43)</f>
        <v>1.5991784037558687</v>
      </c>
    </row>
    <row r="130" spans="1:11" ht="12.75">
      <c r="A130" s="6"/>
      <c r="B130" s="6"/>
      <c r="C130" s="6" t="s">
        <v>238</v>
      </c>
      <c r="D130" s="6"/>
      <c r="E130" s="6"/>
      <c r="F130" s="12">
        <f>Source!AL43</f>
        <v>217.19</v>
      </c>
      <c r="G130" s="6">
        <f>Source!DD43</f>
      </c>
      <c r="H130" s="6">
        <f>Source!AW43</f>
        <v>1</v>
      </c>
      <c r="I130" s="12">
        <f>(Source!CQ43/IF(Source!BC43&lt;&gt;0,Source!BC43,1)*Source!I43)</f>
        <v>3.9094199999999995</v>
      </c>
      <c r="J130" s="6">
        <f>Source!BC43</f>
        <v>1.39</v>
      </c>
      <c r="K130" s="12">
        <f>Source!P43</f>
        <v>5.43</v>
      </c>
    </row>
    <row r="131" spans="1:25" ht="84">
      <c r="A131" s="25" t="str">
        <f>Source!E44</f>
        <v>9,1</v>
      </c>
      <c r="B131" s="25" t="str">
        <f>Source!F44</f>
        <v>1.9-7-19</v>
      </c>
      <c r="C131" s="10" t="str">
        <f>Source!G44</f>
        <v>БЛОКИ ДВЕРНЫЕ ВНУТРЕННИЕ, ОДНОПОЛЬНЫЕ, ГЛУХИЕ, СО СПЛОШНЫМ ЗАПОЛНЕНИЕМ ЩИТА, ОКРАШЕННЫЕ, СО СКОБЯНЫМИ ПРИБОРАМИ, С ЗАМКОМ ЗВУ-2, МАРКА ДГ21-9, ПЛОЩАДЬ 1,8 М2</v>
      </c>
      <c r="D131" s="26" t="str">
        <f>Source!H44</f>
        <v>м2</v>
      </c>
      <c r="E131" s="6">
        <f>ROUND(Source!I44,6)</f>
        <v>1.8</v>
      </c>
      <c r="F131" s="12">
        <f>IF(Source!AL44=0,Source!AK44,Source!AL44)</f>
        <v>291.29</v>
      </c>
      <c r="G131" s="27">
        <f>Source!DD44</f>
      </c>
      <c r="H131" s="6">
        <f>Source!AW44</f>
        <v>1</v>
      </c>
      <c r="I131" s="12">
        <f>(Source!CR44/IF(Source!BB44&lt;&gt;0,Source!BB44,1)*Source!I44)+(Source!CQ44/IF(Source!BC44&lt;&gt;0,Source!BC44,1)*Source!I44)+(Source!CT44/IF(Source!BA44&lt;&gt;0,Source!BA44,1)*Source!I44)</f>
        <v>524.322</v>
      </c>
      <c r="J131" s="6">
        <f>Source!BC44</f>
        <v>4.66</v>
      </c>
      <c r="K131" s="12">
        <f>Source!O44</f>
        <v>2443.34</v>
      </c>
      <c r="O131">
        <f>IF(Source!BI44=1,((Source!CR44/IF(Source!BB44&lt;&gt;0,Source!BB44,1)*Source!I44)+(Source!CQ44/IF(Source!BC44&lt;&gt;0,Source!BC44,1)*Source!I44)+(Source!CT44/IF(Source!BA44&lt;&gt;0,Source!BA44,1)*Source!I44)),0)</f>
        <v>524.322</v>
      </c>
      <c r="P131">
        <f>IF(Source!BI44=2,((Source!CR44/IF(Source!BB44&lt;&gt;0,Source!BB44,1)*Source!I44)+(Source!CQ44/IF(Source!BC44&lt;&gt;0,Source!BC44,1)*Source!I44)+(Source!CT44/IF(Source!BA44&lt;&gt;0,Source!BA44,1)*Source!I44)),0)</f>
        <v>0</v>
      </c>
      <c r="Q131">
        <f>IF(Source!BI44=3,((Source!CR44/IF(Source!BB44&lt;&gt;0,Source!BB44,1)*Source!I44)+(Source!CQ44/IF(Source!BC44&lt;&gt;0,Source!BC44,1)*Source!I44)+(Source!CT44/IF(Source!BA44&lt;&gt;0,Source!BA44,1)*Source!I44)),0)</f>
        <v>0</v>
      </c>
      <c r="R131">
        <f>IF(Source!BI44=4,((Source!CR44/IF(Source!BB44&lt;&gt;0,Source!BB44,1)*Source!I44)+(Source!CQ44/IF(Source!BC44&lt;&gt;0,Source!BC44,1)*Source!I44)+(Source!CT44/IF(Source!BA44&lt;&gt;0,Source!BA44,1)*Source!I44)),0)</f>
        <v>0</v>
      </c>
      <c r="U131">
        <f>IF(Source!BI44=1,Source!O44+Source!X44+Source!Y44,0)</f>
        <v>2443.34</v>
      </c>
      <c r="V131">
        <f>IF(Source!BI44=2,Source!O44+Source!X44+Source!Y44,0)</f>
        <v>0</v>
      </c>
      <c r="W131">
        <f>IF(Source!BI44=3,Source!O44+Source!X44+Source!Y44,0)</f>
        <v>0</v>
      </c>
      <c r="X131">
        <f>IF(Source!BI44=4,Source!O44+Source!X44+Source!Y44,0)</f>
        <v>0</v>
      </c>
      <c r="Y131">
        <v>21</v>
      </c>
    </row>
    <row r="132" spans="1:11" ht="12.75">
      <c r="A132" s="6"/>
      <c r="B132" s="6"/>
      <c r="C132" s="6" t="s">
        <v>232</v>
      </c>
      <c r="D132" s="6" t="s">
        <v>233</v>
      </c>
      <c r="E132" s="6">
        <f>Source!DN43</f>
        <v>105</v>
      </c>
      <c r="F132" s="6"/>
      <c r="G132" s="6"/>
      <c r="H132" s="6"/>
      <c r="I132" s="12">
        <f>(E132/100)*(Source!CT43/IF(Source!BA43&lt;&gt;0,Source!BA43,1)*Source!I43)</f>
        <v>16.7281254</v>
      </c>
      <c r="J132" s="6">
        <f>Source!AT43</f>
        <v>89</v>
      </c>
      <c r="K132" s="12">
        <f>Source!X43</f>
        <v>241.61</v>
      </c>
    </row>
    <row r="133" spans="1:11" ht="12.75">
      <c r="A133" s="6"/>
      <c r="B133" s="6"/>
      <c r="C133" s="6" t="s">
        <v>234</v>
      </c>
      <c r="D133" s="6" t="s">
        <v>233</v>
      </c>
      <c r="E133" s="6">
        <f>Source!DO43</f>
        <v>70</v>
      </c>
      <c r="F133" s="6"/>
      <c r="G133" s="6"/>
      <c r="H133" s="6"/>
      <c r="I133" s="12">
        <f>(E133/100)*(Source!CT43/IF(Source!BA43&lt;&gt;0,Source!BA43,1)*Source!I43)</f>
        <v>11.152083599999997</v>
      </c>
      <c r="J133" s="6">
        <f>Source!AU43</f>
        <v>44</v>
      </c>
      <c r="K133" s="12">
        <f>Source!Y43</f>
        <v>119.45</v>
      </c>
    </row>
    <row r="134" spans="1:11" ht="12.75">
      <c r="A134" s="6"/>
      <c r="B134" s="6"/>
      <c r="C134" s="6" t="s">
        <v>235</v>
      </c>
      <c r="D134" s="6" t="s">
        <v>233</v>
      </c>
      <c r="E134" s="6">
        <v>175</v>
      </c>
      <c r="F134" s="6"/>
      <c r="G134" s="6"/>
      <c r="H134" s="6"/>
      <c r="I134" s="12">
        <f>(Source!CS43/IF(Source!BS43&lt;&gt;0,Source!BS43,1)*Source!I43)*1.75</f>
        <v>2.7987749999999996</v>
      </c>
      <c r="J134" s="6">
        <v>167</v>
      </c>
      <c r="K134" s="12">
        <f>Source!R43*J134/100</f>
        <v>45.5075</v>
      </c>
    </row>
    <row r="135" spans="1:11" ht="12.75">
      <c r="A135" s="29"/>
      <c r="B135" s="29"/>
      <c r="C135" s="29" t="s">
        <v>236</v>
      </c>
      <c r="D135" s="29" t="s">
        <v>237</v>
      </c>
      <c r="E135" s="29">
        <f>Source!AQ43</f>
        <v>67.1</v>
      </c>
      <c r="F135" s="29"/>
      <c r="G135" s="30" t="str">
        <f>Source!DI43</f>
        <v>)*1,15</v>
      </c>
      <c r="H135" s="29">
        <f>Source!AV43</f>
        <v>1</v>
      </c>
      <c r="I135" s="31">
        <f>ROUND(Source!U43,2)</f>
        <v>1.39</v>
      </c>
      <c r="J135" s="29"/>
      <c r="K135" s="29"/>
    </row>
    <row r="136" spans="9:24" ht="12.75">
      <c r="I136" s="32">
        <f>(Source!CT43/IF(Source!BA43&lt;&gt;0,Source!BA43,1)*Source!I43)+(Source!CR43/IF(Source!BB43&lt;&gt;0,Source!BB43,1)*Source!I43)+SUM(I130:I134)</f>
        <v>580.9023269999999</v>
      </c>
      <c r="J136" s="9"/>
      <c r="K136" s="32">
        <f>Source!S43+Source!Q43+SUM(K130:K134)</f>
        <v>3177.7175</v>
      </c>
      <c r="L136">
        <f>(Source!CT43/IF(Source!BA43&lt;&gt;0,Source!BA43,1)*Source!I43)</f>
        <v>15.931547999999998</v>
      </c>
      <c r="M136" s="13">
        <f>I136</f>
        <v>580.9023269999999</v>
      </c>
      <c r="O136">
        <f>IF(Source!BI43=1,((Source!CT43/IF(Source!BA43&lt;&gt;0,Source!BA43,1)*Source!I43)+(Source!CR43/IF(Source!BB43&lt;&gt;0,Source!BB43,1)*Source!I43)+(Source!CQ43/IF(Source!BC43&lt;&gt;0,Source!BC43,1)*Source!I43)+((Source!DN43/100)*(Source!CT43/IF(Source!BA43&lt;&gt;0,Source!BA43,1)*Source!I43))+((Source!DO43/100)*(Source!CT43/IF(Source!BA43&lt;&gt;0,Source!BA43,1)*Source!I43))+((Source!CS43/IF(Source!BS43&lt;&gt;0,Source!BS43,1)*Source!I43)*1.75)),0)</f>
        <v>56.58032699999999</v>
      </c>
      <c r="P136">
        <f>IF(Source!BI43=2,((Source!CT43/IF(Source!BA43&lt;&gt;0,Source!BA43,1)*Source!I43)+(Source!CR43/IF(Source!BB43&lt;&gt;0,Source!BB43,1)*Source!I43)+(Source!CQ43/IF(Source!BC43&lt;&gt;0,Source!BC43,1)*Source!I43)+((Source!DN43/100)*(Source!CT43/IF(Source!BA43&lt;&gt;0,Source!BA43,1)*Source!I43))+((Source!DO43/100)*(Source!CT43/IF(Source!BA43&lt;&gt;0,Source!BA43,1)*Source!I43))+((Source!CS43/IF(Source!BS43&lt;&gt;0,Source!BS43,1)*Source!I43)*1.75)),0)</f>
        <v>0</v>
      </c>
      <c r="Q136">
        <f>IF(Source!BI43=3,((Source!CT43/IF(Source!BA43&lt;&gt;0,Source!BA43,1)*Source!I43)+(Source!CR43/IF(Source!BB43&lt;&gt;0,Source!BB43,1)*Source!I43)+(Source!CQ43/IF(Source!BC43&lt;&gt;0,Source!BC43,1)*Source!I43)+((Source!DN43/100)*(Source!CT43/IF(Source!BA43&lt;&gt;0,Source!BA43,1)*Source!I43))+((Source!DO43/100)*(Source!CT43/IF(Source!BA43&lt;&gt;0,Source!BA43,1)*Source!I43))+((Source!CS43/IF(Source!BS43&lt;&gt;0,Source!BS43,1)*Source!I43)*1.75)),0)</f>
        <v>0</v>
      </c>
      <c r="R136">
        <f>IF(Source!BI43=4,((Source!CT43/IF(Source!BA43&lt;&gt;0,Source!BA43,1)*Source!I43)+(Source!CR43/IF(Source!BB43&lt;&gt;0,Source!BB43,1)*Source!I43)+(Source!CQ43/IF(Source!BC43&lt;&gt;0,Source!BC43,1)*Source!I43)+((Source!DN43/100)*(Source!CT43/IF(Source!BA43&lt;&gt;0,Source!BA43,1)*Source!I43))+((Source!DO43/100)*(Source!CT43/IF(Source!BA43&lt;&gt;0,Source!BA43,1)*Source!I43))+((Source!CS43/IF(Source!BS43&lt;&gt;0,Source!BS43,1)*Source!I43)*1.75)),0)</f>
        <v>0</v>
      </c>
      <c r="U136">
        <f>IF(Source!BI43=1,Source!O43+Source!X43+Source!Y43+Source!R43*167/100,0)</f>
        <v>734.3775000000002</v>
      </c>
      <c r="V136">
        <f>IF(Source!BI43=2,Source!O43+Source!X43+Source!Y43+Source!R43*167/100,0)</f>
        <v>0</v>
      </c>
      <c r="W136">
        <f>IF(Source!BI43=3,Source!O43+Source!X43+Source!Y43+Source!R43*167/100,0)</f>
        <v>0</v>
      </c>
      <c r="X136">
        <f>IF(Source!BI43=4,Source!O43+Source!X43+Source!Y43+Source!R43*167/100,0)</f>
        <v>0</v>
      </c>
    </row>
    <row r="137" spans="1:25" ht="48">
      <c r="A137" s="25" t="str">
        <f>Source!E45</f>
        <v>10</v>
      </c>
      <c r="B137" s="25" t="str">
        <f>Source!F45</f>
        <v>3.15-28-1</v>
      </c>
      <c r="C137" s="10" t="str">
        <f>Source!G45</f>
        <v>ОБЛИЦОВКА ПОВЕРХНОСТЕЙ ДЕКОРАТИВНЫМИ ОТДЕЛОЧНЫМИ ПАНЕЛЯМИ ИЗ ДРЕВЕСНЫХ МАТЕРИАЛОВ</v>
      </c>
      <c r="D137" s="26" t="str">
        <f>Source!H45</f>
        <v>100 м2</v>
      </c>
      <c r="E137" s="6">
        <f>ROUND(Source!I45,6)</f>
        <v>1.5</v>
      </c>
      <c r="F137" s="6"/>
      <c r="G137" s="6"/>
      <c r="H137" s="6"/>
      <c r="I137" s="6"/>
      <c r="J137" s="6"/>
      <c r="K137" s="6"/>
      <c r="Y137">
        <v>22</v>
      </c>
    </row>
    <row r="138" spans="1:11" ht="12.75">
      <c r="A138" s="6"/>
      <c r="B138" s="6"/>
      <c r="C138" s="6" t="s">
        <v>229</v>
      </c>
      <c r="D138" s="6"/>
      <c r="E138" s="6"/>
      <c r="F138" s="12">
        <f>Source!AO45</f>
        <v>3378.32</v>
      </c>
      <c r="G138" s="27" t="str">
        <f>Source!DG45</f>
        <v>*1,15</v>
      </c>
      <c r="H138" s="6">
        <f>Source!AV45</f>
        <v>1</v>
      </c>
      <c r="I138" s="12">
        <f>(Source!CT45/IF(Source!BA45&lt;&gt;0,Source!BA45,1)*Source!I45)</f>
        <v>5827.601999999999</v>
      </c>
      <c r="J138" s="6">
        <f>Source!BA45</f>
        <v>17.04</v>
      </c>
      <c r="K138" s="12">
        <f>Source!S45</f>
        <v>99302.34</v>
      </c>
    </row>
    <row r="139" spans="1:11" ht="12.75">
      <c r="A139" s="6"/>
      <c r="B139" s="6"/>
      <c r="C139" s="6" t="s">
        <v>230</v>
      </c>
      <c r="D139" s="6"/>
      <c r="E139" s="6"/>
      <c r="F139" s="12">
        <f>Source!AM45</f>
        <v>216.26</v>
      </c>
      <c r="G139" s="27" t="str">
        <f>Source!DE45</f>
        <v>*1,25</v>
      </c>
      <c r="H139" s="6">
        <f>Source!AV45</f>
        <v>1</v>
      </c>
      <c r="I139" s="12">
        <f>(Source!CR45/IF(Source!BB45&lt;&gt;0,Source!BB45,1)*Source!I45)</f>
        <v>405.48749999999995</v>
      </c>
      <c r="J139" s="6">
        <f>Source!BB45</f>
        <v>6.28</v>
      </c>
      <c r="K139" s="12">
        <f>Source!Q45</f>
        <v>2546.46</v>
      </c>
    </row>
    <row r="140" spans="1:12" ht="12.75">
      <c r="A140" s="6"/>
      <c r="B140" s="6"/>
      <c r="C140" s="6" t="s">
        <v>231</v>
      </c>
      <c r="D140" s="6"/>
      <c r="E140" s="6"/>
      <c r="F140" s="12">
        <f>Source!AN45</f>
        <v>43.25</v>
      </c>
      <c r="G140" s="27" t="str">
        <f>Source!DF45</f>
        <v>*1,25</v>
      </c>
      <c r="H140" s="6">
        <f>Source!AV45</f>
        <v>1</v>
      </c>
      <c r="I140" s="28" t="str">
        <f>CONCATENATE("(",TEXT(+(Source!CS45/IF(J140&lt;&gt;0,J140,1)*Source!I45),"0,00"),")")</f>
        <v>(81,09)</v>
      </c>
      <c r="J140" s="6">
        <f>Source!BS45</f>
        <v>17.04</v>
      </c>
      <c r="K140" s="28" t="str">
        <f>CONCATENATE("(",TEXT(+Source!R45,"0,00"),")")</f>
        <v>(1381,84)</v>
      </c>
      <c r="L140">
        <f>IF(J140&lt;&gt;0,Source!R45/J140,Source!R45)</f>
        <v>81.09389671361502</v>
      </c>
    </row>
    <row r="141" spans="1:11" ht="12.75">
      <c r="A141" s="6"/>
      <c r="B141" s="6"/>
      <c r="C141" s="6" t="s">
        <v>238</v>
      </c>
      <c r="D141" s="6"/>
      <c r="E141" s="6"/>
      <c r="F141" s="12">
        <f>Source!AL45</f>
        <v>2164.08</v>
      </c>
      <c r="G141" s="6">
        <f>Source!DD45</f>
      </c>
      <c r="H141" s="6">
        <f>Source!AW45</f>
        <v>1</v>
      </c>
      <c r="I141" s="12">
        <f>(Source!CQ45/IF(Source!BC45&lt;&gt;0,Source!BC45,1)*Source!I45)</f>
        <v>3246.12</v>
      </c>
      <c r="J141" s="6">
        <f>Source!BC45</f>
        <v>3.63</v>
      </c>
      <c r="K141" s="12">
        <f>Source!P45</f>
        <v>11783.42</v>
      </c>
    </row>
    <row r="142" spans="1:25" ht="72">
      <c r="A142" s="25" t="str">
        <f>Source!E46</f>
        <v>10,1</v>
      </c>
      <c r="B142" s="25" t="str">
        <f>Source!F46</f>
        <v>1.9-11-14</v>
      </c>
      <c r="C142" s="10" t="str">
        <f>Source!G46</f>
        <v>ПАНЕЛИ ОТДЕЛОЧНЫЕ ИЗ ДСП, РАЗМЕРЫ 17Х600Х1820 ММ, ОБЛИЦОВАННЫЕ С ОДНОЙ СТОРОНЫ СТРОГАННЫМ ШПОНОМ ТВЕРДОЛИСТВЕННЫХ ПОРОД, ПОКРЫТЫЕ НИТРОЛАКОМ</v>
      </c>
      <c r="D142" s="26" t="str">
        <f>Source!H46</f>
        <v>м2</v>
      </c>
      <c r="E142" s="6">
        <f>ROUND(Source!I46,6)</f>
        <v>150</v>
      </c>
      <c r="F142" s="12">
        <f>IF(Source!AL46=0,Source!AK46,Source!AL46)</f>
        <v>79.7</v>
      </c>
      <c r="G142" s="27">
        <f>Source!DD46</f>
      </c>
      <c r="H142" s="6">
        <f>Source!AW46</f>
        <v>1</v>
      </c>
      <c r="I142" s="12">
        <f>(Source!CR46/IF(Source!BB46&lt;&gt;0,Source!BB46,1)*Source!I46)+(Source!CQ46/IF(Source!BC46&lt;&gt;0,Source!BC46,1)*Source!I46)+(Source!CT46/IF(Source!BA46&lt;&gt;0,Source!BA46,1)*Source!I46)</f>
        <v>11955</v>
      </c>
      <c r="J142" s="6">
        <f>Source!BC46</f>
        <v>12.34</v>
      </c>
      <c r="K142" s="12">
        <f>Source!O46</f>
        <v>147524.7</v>
      </c>
      <c r="O142">
        <f>IF(Source!BI46=1,((Source!CR46/IF(Source!BB46&lt;&gt;0,Source!BB46,1)*Source!I46)+(Source!CQ46/IF(Source!BC46&lt;&gt;0,Source!BC46,1)*Source!I46)+(Source!CT46/IF(Source!BA46&lt;&gt;0,Source!BA46,1)*Source!I46)),0)</f>
        <v>11955</v>
      </c>
      <c r="P142">
        <f>IF(Source!BI46=2,((Source!CR46/IF(Source!BB46&lt;&gt;0,Source!BB46,1)*Source!I46)+(Source!CQ46/IF(Source!BC46&lt;&gt;0,Source!BC46,1)*Source!I46)+(Source!CT46/IF(Source!BA46&lt;&gt;0,Source!BA46,1)*Source!I46)),0)</f>
        <v>0</v>
      </c>
      <c r="Q142">
        <f>IF(Source!BI46=3,((Source!CR46/IF(Source!BB46&lt;&gt;0,Source!BB46,1)*Source!I46)+(Source!CQ46/IF(Source!BC46&lt;&gt;0,Source!BC46,1)*Source!I46)+(Source!CT46/IF(Source!BA46&lt;&gt;0,Source!BA46,1)*Source!I46)),0)</f>
        <v>0</v>
      </c>
      <c r="R142">
        <f>IF(Source!BI46=4,((Source!CR46/IF(Source!BB46&lt;&gt;0,Source!BB46,1)*Source!I46)+(Source!CQ46/IF(Source!BC46&lt;&gt;0,Source!BC46,1)*Source!I46)+(Source!CT46/IF(Source!BA46&lt;&gt;0,Source!BA46,1)*Source!I46)),0)</f>
        <v>0</v>
      </c>
      <c r="U142">
        <f>IF(Source!BI46=1,Source!O46+Source!X46+Source!Y46,0)</f>
        <v>147524.7</v>
      </c>
      <c r="V142">
        <f>IF(Source!BI46=2,Source!O46+Source!X46+Source!Y46,0)</f>
        <v>0</v>
      </c>
      <c r="W142">
        <f>IF(Source!BI46=3,Source!O46+Source!X46+Source!Y46,0)</f>
        <v>0</v>
      </c>
      <c r="X142">
        <f>IF(Source!BI46=4,Source!O46+Source!X46+Source!Y46,0)</f>
        <v>0</v>
      </c>
      <c r="Y142">
        <v>23</v>
      </c>
    </row>
    <row r="143" spans="1:11" ht="12.75">
      <c r="A143" s="6"/>
      <c r="B143" s="6"/>
      <c r="C143" s="6" t="s">
        <v>232</v>
      </c>
      <c r="D143" s="6" t="s">
        <v>233</v>
      </c>
      <c r="E143" s="6">
        <f>Source!DN45</f>
        <v>100</v>
      </c>
      <c r="F143" s="6"/>
      <c r="G143" s="6"/>
      <c r="H143" s="6"/>
      <c r="I143" s="12">
        <f>(E143/100)*(Source!CT45/IF(Source!BA45&lt;&gt;0,Source!BA45,1)*Source!I45)</f>
        <v>5827.601999999999</v>
      </c>
      <c r="J143" s="6">
        <f>Source!AT45</f>
        <v>85</v>
      </c>
      <c r="K143" s="12">
        <f>Source!X45</f>
        <v>84406.99</v>
      </c>
    </row>
    <row r="144" spans="1:11" ht="12.75">
      <c r="A144" s="6"/>
      <c r="B144" s="6"/>
      <c r="C144" s="6" t="s">
        <v>234</v>
      </c>
      <c r="D144" s="6" t="s">
        <v>233</v>
      </c>
      <c r="E144" s="6">
        <f>Source!DO45</f>
        <v>64</v>
      </c>
      <c r="F144" s="6"/>
      <c r="G144" s="6"/>
      <c r="H144" s="6"/>
      <c r="I144" s="12">
        <f>(E144/100)*(Source!CT45/IF(Source!BA45&lt;&gt;0,Source!BA45,1)*Source!I45)</f>
        <v>3729.6652799999993</v>
      </c>
      <c r="J144" s="6">
        <f>Source!AU45</f>
        <v>44</v>
      </c>
      <c r="K144" s="12">
        <f>Source!Y45</f>
        <v>43693.03</v>
      </c>
    </row>
    <row r="145" spans="1:11" ht="12.75">
      <c r="A145" s="6"/>
      <c r="B145" s="6"/>
      <c r="C145" s="6" t="s">
        <v>235</v>
      </c>
      <c r="D145" s="6" t="s">
        <v>233</v>
      </c>
      <c r="E145" s="6">
        <v>175</v>
      </c>
      <c r="F145" s="6"/>
      <c r="G145" s="6"/>
      <c r="H145" s="6"/>
      <c r="I145" s="12">
        <f>(Source!CS45/IF(Source!BS45&lt;&gt;0,Source!BS45,1)*Source!I45)*1.75</f>
        <v>141.9140625</v>
      </c>
      <c r="J145" s="6">
        <v>167</v>
      </c>
      <c r="K145" s="12">
        <f>Source!R45*J145/100</f>
        <v>2307.6728</v>
      </c>
    </row>
    <row r="146" spans="1:11" ht="12.75">
      <c r="A146" s="29"/>
      <c r="B146" s="29"/>
      <c r="C146" s="29" t="s">
        <v>236</v>
      </c>
      <c r="D146" s="29" t="s">
        <v>237</v>
      </c>
      <c r="E146" s="29">
        <f>Source!AQ45</f>
        <v>242</v>
      </c>
      <c r="F146" s="29"/>
      <c r="G146" s="30" t="str">
        <f>Source!DI45</f>
        <v>*1,15</v>
      </c>
      <c r="H146" s="29">
        <f>Source!AV45</f>
        <v>1</v>
      </c>
      <c r="I146" s="31">
        <f>ROUND(Source!U45,2)</f>
        <v>417.45</v>
      </c>
      <c r="J146" s="29"/>
      <c r="K146" s="29"/>
    </row>
    <row r="147" spans="9:24" ht="12.75">
      <c r="I147" s="32">
        <f>(Source!CT45/IF(Source!BA45&lt;&gt;0,Source!BA45,1)*Source!I45)+(Source!CR45/IF(Source!BB45&lt;&gt;0,Source!BB45,1)*Source!I45)+SUM(I141:I145)</f>
        <v>31133.390842499994</v>
      </c>
      <c r="J147" s="9"/>
      <c r="K147" s="32">
        <f>Source!S45+Source!Q45+SUM(K141:K145)</f>
        <v>391564.6128</v>
      </c>
      <c r="L147">
        <f>(Source!CT45/IF(Source!BA45&lt;&gt;0,Source!BA45,1)*Source!I45)</f>
        <v>5827.601999999999</v>
      </c>
      <c r="M147" s="13">
        <f>I147</f>
        <v>31133.390842499994</v>
      </c>
      <c r="O147">
        <f>IF(Source!BI45=1,((Source!CT45/IF(Source!BA45&lt;&gt;0,Source!BA45,1)*Source!I45)+(Source!CR45/IF(Source!BB45&lt;&gt;0,Source!BB45,1)*Source!I45)+(Source!CQ45/IF(Source!BC45&lt;&gt;0,Source!BC45,1)*Source!I45)+((Source!DN45/100)*(Source!CT45/IF(Source!BA45&lt;&gt;0,Source!BA45,1)*Source!I45))+((Source!DO45/100)*(Source!CT45/IF(Source!BA45&lt;&gt;0,Source!BA45,1)*Source!I45))+((Source!CS45/IF(Source!BS45&lt;&gt;0,Source!BS45,1)*Source!I45)*1.75)),0)</f>
        <v>19178.390842499997</v>
      </c>
      <c r="P147">
        <f>IF(Source!BI45=2,((Source!CT45/IF(Source!BA45&lt;&gt;0,Source!BA45,1)*Source!I45)+(Source!CR45/IF(Source!BB45&lt;&gt;0,Source!BB45,1)*Source!I45)+(Source!CQ45/IF(Source!BC45&lt;&gt;0,Source!BC45,1)*Source!I45)+((Source!DN45/100)*(Source!CT45/IF(Source!BA45&lt;&gt;0,Source!BA45,1)*Source!I45))+((Source!DO45/100)*(Source!CT45/IF(Source!BA45&lt;&gt;0,Source!BA45,1)*Source!I45))+((Source!CS45/IF(Source!BS45&lt;&gt;0,Source!BS45,1)*Source!I45)*1.75)),0)</f>
        <v>0</v>
      </c>
      <c r="Q147">
        <f>IF(Source!BI45=3,((Source!CT45/IF(Source!BA45&lt;&gt;0,Source!BA45,1)*Source!I45)+(Source!CR45/IF(Source!BB45&lt;&gt;0,Source!BB45,1)*Source!I45)+(Source!CQ45/IF(Source!BC45&lt;&gt;0,Source!BC45,1)*Source!I45)+((Source!DN45/100)*(Source!CT45/IF(Source!BA45&lt;&gt;0,Source!BA45,1)*Source!I45))+((Source!DO45/100)*(Source!CT45/IF(Source!BA45&lt;&gt;0,Source!BA45,1)*Source!I45))+((Source!CS45/IF(Source!BS45&lt;&gt;0,Source!BS45,1)*Source!I45)*1.75)),0)</f>
        <v>0</v>
      </c>
      <c r="R147">
        <f>IF(Source!BI45=4,((Source!CT45/IF(Source!BA45&lt;&gt;0,Source!BA45,1)*Source!I45)+(Source!CR45/IF(Source!BB45&lt;&gt;0,Source!BB45,1)*Source!I45)+(Source!CQ45/IF(Source!BC45&lt;&gt;0,Source!BC45,1)*Source!I45)+((Source!DN45/100)*(Source!CT45/IF(Source!BA45&lt;&gt;0,Source!BA45,1)*Source!I45))+((Source!DO45/100)*(Source!CT45/IF(Source!BA45&lt;&gt;0,Source!BA45,1)*Source!I45))+((Source!CS45/IF(Source!BS45&lt;&gt;0,Source!BS45,1)*Source!I45)*1.75)),0)</f>
        <v>0</v>
      </c>
      <c r="U147">
        <f>IF(Source!BI45=1,Source!O45+Source!X45+Source!Y45+Source!R45*167/100,0)</f>
        <v>244039.91280000002</v>
      </c>
      <c r="V147">
        <f>IF(Source!BI45=2,Source!O45+Source!X45+Source!Y45+Source!R45*167/100,0)</f>
        <v>0</v>
      </c>
      <c r="W147">
        <f>IF(Source!BI45=3,Source!O45+Source!X45+Source!Y45+Source!R45*167/100,0)</f>
        <v>0</v>
      </c>
      <c r="X147">
        <f>IF(Source!BI45=4,Source!O45+Source!X45+Source!Y45+Source!R45*167/100,0)</f>
        <v>0</v>
      </c>
    </row>
    <row r="149" spans="3:20" s="9" customFormat="1" ht="12.75">
      <c r="C149" s="9" t="s">
        <v>141</v>
      </c>
      <c r="H149" s="40">
        <f>SUM(M40:M148)</f>
        <v>90518.24859603938</v>
      </c>
      <c r="I149" s="40"/>
      <c r="J149" s="40">
        <f>ROUND(Source!AB22+Source!AK22+Source!AL22+Source!AE22*T149/100,2)</f>
        <v>741525.42</v>
      </c>
      <c r="K149" s="40"/>
      <c r="L149" s="32">
        <f>SUM(L40:L148)</f>
        <v>12677.673373321519</v>
      </c>
      <c r="T149" s="9">
        <v>167</v>
      </c>
    </row>
    <row r="150" ht="12.75" hidden="1"/>
    <row r="151" spans="3:11" ht="12.75" hidden="1">
      <c r="C151" s="33" t="s">
        <v>239</v>
      </c>
      <c r="D151" s="44"/>
      <c r="E151" s="44"/>
      <c r="F151" s="44"/>
      <c r="G151" s="44"/>
      <c r="H151" s="44"/>
      <c r="I151" s="44"/>
      <c r="J151" s="44"/>
      <c r="K151" s="44"/>
    </row>
    <row r="152" spans="3:11" ht="12.75" hidden="1">
      <c r="C152" s="37" t="str">
        <f>Source!H79</f>
        <v>Итого</v>
      </c>
      <c r="D152" s="37"/>
      <c r="E152" s="37"/>
      <c r="F152" s="37"/>
      <c r="G152" s="37"/>
      <c r="H152" s="37"/>
      <c r="I152" s="37"/>
      <c r="J152" s="38">
        <f>Source!F79</f>
        <v>741525.42</v>
      </c>
      <c r="K152" s="39"/>
    </row>
    <row r="153" spans="3:11" ht="12.75">
      <c r="C153" s="37" t="str">
        <f>Source!H80</f>
        <v>НДС 18%</v>
      </c>
      <c r="D153" s="37"/>
      <c r="E153" s="37"/>
      <c r="F153" s="37"/>
      <c r="G153" s="37"/>
      <c r="H153" s="37"/>
      <c r="I153" s="37"/>
      <c r="J153" s="38">
        <f>Source!F80</f>
        <v>133474.58</v>
      </c>
      <c r="K153" s="39"/>
    </row>
    <row r="154" spans="3:11" ht="12.75">
      <c r="C154" s="37" t="str">
        <f>Source!H81</f>
        <v>Итого с НДС</v>
      </c>
      <c r="D154" s="37"/>
      <c r="E154" s="37"/>
      <c r="F154" s="37"/>
      <c r="G154" s="37"/>
      <c r="H154" s="37"/>
      <c r="I154" s="37"/>
      <c r="J154" s="38">
        <f>Source!F81</f>
        <v>875000</v>
      </c>
      <c r="K154" s="39"/>
    </row>
    <row r="155" spans="3:12" s="9" customFormat="1" ht="12.75" hidden="1">
      <c r="C155" s="9" t="s">
        <v>240</v>
      </c>
      <c r="H155" s="40">
        <f>H149</f>
        <v>90518.24859603938</v>
      </c>
      <c r="I155" s="40"/>
      <c r="J155" s="40">
        <f>ROUND(Source!O22+Source!X22+Source!Y22+Source!R22*167/100,2)</f>
        <v>741525.42</v>
      </c>
      <c r="K155" s="41"/>
      <c r="L155" s="32">
        <f>L149</f>
        <v>12677.673373321519</v>
      </c>
    </row>
    <row r="160" spans="1:8" ht="12.75">
      <c r="A160" t="s">
        <v>241</v>
      </c>
      <c r="C160" s="34" t="str">
        <f>IF(Source!AO12&lt;&gt;"",Source!AO12," ")</f>
        <v> </v>
      </c>
      <c r="D160" s="34"/>
      <c r="E160" s="34"/>
      <c r="F160" s="34"/>
      <c r="G160" s="34"/>
      <c r="H160" t="str">
        <f>IF(Source!R12&lt;&gt;"",Source!R12," ")</f>
        <v> </v>
      </c>
    </row>
    <row r="161" spans="3:7" s="35" customFormat="1" ht="11.25">
      <c r="C161" s="36" t="s">
        <v>242</v>
      </c>
      <c r="D161" s="36"/>
      <c r="E161" s="36"/>
      <c r="F161" s="36"/>
      <c r="G161" s="36"/>
    </row>
    <row r="163" spans="1:8" ht="12.75">
      <c r="A163" t="s">
        <v>243</v>
      </c>
      <c r="C163" s="34" t="str">
        <f>IF(Source!AP12&lt;&gt;"",Source!AP12," ")</f>
        <v> </v>
      </c>
      <c r="D163" s="34"/>
      <c r="E163" s="34"/>
      <c r="F163" s="34"/>
      <c r="G163" s="34"/>
      <c r="H163" t="str">
        <f>IF(Source!S12&lt;&gt;"",Source!S12," ")</f>
        <v> </v>
      </c>
    </row>
    <row r="164" spans="3:7" s="35" customFormat="1" ht="11.25">
      <c r="C164" s="36" t="s">
        <v>242</v>
      </c>
      <c r="D164" s="36"/>
      <c r="E164" s="36"/>
      <c r="F164" s="36"/>
      <c r="G164" s="36"/>
    </row>
  </sheetData>
  <sheetProtection/>
  <mergeCells count="28">
    <mergeCell ref="F3:I3"/>
    <mergeCell ref="A5:B5"/>
    <mergeCell ref="F5:H5"/>
    <mergeCell ref="C5:D5"/>
    <mergeCell ref="I5:K5"/>
    <mergeCell ref="C7:D7"/>
    <mergeCell ref="H7:K7"/>
    <mergeCell ref="A12:K12"/>
    <mergeCell ref="A15:K15"/>
    <mergeCell ref="A16:K16"/>
    <mergeCell ref="A18:K18"/>
    <mergeCell ref="B20:K20"/>
    <mergeCell ref="B21:K21"/>
    <mergeCell ref="A23:K23"/>
    <mergeCell ref="G34:H34"/>
    <mergeCell ref="J149:K149"/>
    <mergeCell ref="H149:I149"/>
    <mergeCell ref="D151:K151"/>
    <mergeCell ref="C152:I152"/>
    <mergeCell ref="J152:K152"/>
    <mergeCell ref="C161:G161"/>
    <mergeCell ref="C164:G164"/>
    <mergeCell ref="C153:I153"/>
    <mergeCell ref="J153:K153"/>
    <mergeCell ref="C154:I154"/>
    <mergeCell ref="J154:K154"/>
    <mergeCell ref="J155:K155"/>
    <mergeCell ref="H155:I155"/>
  </mergeCells>
  <printOptions/>
  <pageMargins left="0.3937007874015748" right="0.1968503937007874" top="0.3937007874015748" bottom="0.3937007874015748" header="0.11811023622047245" footer="0.11811023622047245"/>
  <pageSetup orientation="portrait" paperSize="9" scale="7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2:FY85"/>
  <sheetViews>
    <sheetView zoomScalePageLayoutView="0" workbookViewId="0" topLeftCell="A1">
      <selection activeCell="A1" sqref="A1:L1"/>
    </sheetView>
  </sheetViews>
  <sheetFormatPr defaultColWidth="9.140625" defaultRowHeight="12.75"/>
  <sheetData>
    <row r="12" spans="1:104" ht="12.75">
      <c r="A12" s="1">
        <v>1</v>
      </c>
      <c r="B12" s="1">
        <v>1</v>
      </c>
      <c r="C12" s="1">
        <v>0</v>
      </c>
      <c r="D12" s="1">
        <f>ROW(A64)</f>
        <v>64</v>
      </c>
      <c r="E12" s="1">
        <v>0</v>
      </c>
      <c r="F12" s="1" t="s">
        <v>0</v>
      </c>
      <c r="G12" s="1" t="s">
        <v>1</v>
      </c>
      <c r="H12" s="1" t="s">
        <v>2</v>
      </c>
      <c r="I12" s="1">
        <v>0</v>
      </c>
      <c r="J12" s="1" t="s">
        <v>2</v>
      </c>
      <c r="K12" s="1" t="s">
        <v>2</v>
      </c>
      <c r="L12" s="1" t="s">
        <v>2</v>
      </c>
      <c r="M12" s="1" t="s">
        <v>2</v>
      </c>
      <c r="N12" s="1" t="s">
        <v>2</v>
      </c>
      <c r="O12" s="1" t="s">
        <v>3</v>
      </c>
      <c r="P12" s="1">
        <v>2016</v>
      </c>
      <c r="Q12" s="1">
        <v>4</v>
      </c>
      <c r="R12" s="1" t="s">
        <v>2</v>
      </c>
      <c r="S12" s="1" t="s">
        <v>2</v>
      </c>
      <c r="T12" s="1" t="s">
        <v>2</v>
      </c>
      <c r="U12" s="1" t="s">
        <v>2</v>
      </c>
      <c r="V12" s="1">
        <v>-3</v>
      </c>
      <c r="W12" s="1" t="s">
        <v>2</v>
      </c>
      <c r="X12" s="1">
        <v>0</v>
      </c>
      <c r="Y12" s="1">
        <v>2</v>
      </c>
      <c r="Z12" s="1">
        <v>2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1</v>
      </c>
      <c r="AJ12" s="1">
        <v>98</v>
      </c>
      <c r="AK12" s="1">
        <v>69</v>
      </c>
      <c r="AL12" s="1" t="s">
        <v>2</v>
      </c>
      <c r="AM12" s="1" t="s">
        <v>2</v>
      </c>
      <c r="AN12" s="1">
        <v>0</v>
      </c>
      <c r="AO12" s="1" t="s">
        <v>2</v>
      </c>
      <c r="AP12" s="1" t="s">
        <v>2</v>
      </c>
      <c r="AQ12" s="1" t="s">
        <v>2</v>
      </c>
      <c r="AR12" s="1" t="s">
        <v>2</v>
      </c>
      <c r="AS12" s="1" t="s">
        <v>2</v>
      </c>
      <c r="AT12" s="1" t="s">
        <v>2</v>
      </c>
      <c r="AU12" s="1" t="s">
        <v>2</v>
      </c>
      <c r="AV12" s="1" t="s">
        <v>2</v>
      </c>
      <c r="AW12" s="1" t="s">
        <v>2</v>
      </c>
      <c r="AX12" s="1"/>
      <c r="AY12" s="1"/>
      <c r="AZ12" s="1"/>
      <c r="BA12" s="1">
        <v>167</v>
      </c>
      <c r="BB12" s="1">
        <v>98</v>
      </c>
      <c r="BC12" s="1">
        <v>69</v>
      </c>
      <c r="BD12" s="1">
        <v>20142962</v>
      </c>
      <c r="BE12" s="1" t="s">
        <v>4</v>
      </c>
      <c r="BF12" s="1" t="s">
        <v>5</v>
      </c>
      <c r="BG12" s="1">
        <v>7156650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167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7155514</v>
      </c>
      <c r="CB12" s="1">
        <v>7155498</v>
      </c>
      <c r="CC12" s="1">
        <v>7155496</v>
      </c>
      <c r="CD12" s="1">
        <v>7155494</v>
      </c>
      <c r="CE12" s="1">
        <v>0</v>
      </c>
      <c r="CF12" s="1">
        <v>0</v>
      </c>
      <c r="CG12" s="1" t="s">
        <v>2</v>
      </c>
      <c r="CH12" s="1" t="s">
        <v>2</v>
      </c>
      <c r="CI12" s="1" t="s">
        <v>2</v>
      </c>
      <c r="CJ12" s="1">
        <v>0</v>
      </c>
      <c r="CK12" s="1">
        <v>7182713</v>
      </c>
      <c r="CL12" s="1" t="s">
        <v>6</v>
      </c>
      <c r="CM12" s="1" t="s">
        <v>7</v>
      </c>
      <c r="CN12" s="1" t="s">
        <v>8</v>
      </c>
      <c r="CO12" s="1" t="s">
        <v>8</v>
      </c>
      <c r="CP12" s="1" t="s">
        <v>8</v>
      </c>
      <c r="CQ12" s="1" t="s">
        <v>8</v>
      </c>
      <c r="CR12" s="1" t="s">
        <v>2</v>
      </c>
      <c r="CS12" s="1">
        <v>0</v>
      </c>
      <c r="CT12" s="1">
        <v>0</v>
      </c>
      <c r="CU12" s="1">
        <v>0</v>
      </c>
      <c r="CV12" s="1">
        <v>7534351</v>
      </c>
      <c r="CW12" s="1">
        <v>18648102</v>
      </c>
      <c r="CX12" s="1">
        <v>20143372</v>
      </c>
      <c r="CY12" s="1">
        <v>8</v>
      </c>
      <c r="CZ12" s="1" t="s">
        <v>2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B64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№ 186-23.06.16 Смета на сцену (Ольга Нурминен)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474839.63</v>
      </c>
      <c r="P18" s="2">
        <f t="shared" si="0"/>
        <v>253277.18</v>
      </c>
      <c r="Q18" s="2">
        <f t="shared" si="0"/>
        <v>9339.21</v>
      </c>
      <c r="R18" s="2">
        <f t="shared" si="0"/>
        <v>3804.3</v>
      </c>
      <c r="S18" s="2">
        <f t="shared" si="0"/>
        <v>212223.24</v>
      </c>
      <c r="T18" s="2">
        <f t="shared" si="0"/>
        <v>0</v>
      </c>
      <c r="U18" s="2">
        <f t="shared" si="0"/>
        <v>931.62</v>
      </c>
      <c r="V18" s="2">
        <f t="shared" si="0"/>
        <v>0</v>
      </c>
      <c r="W18" s="2">
        <f t="shared" si="0"/>
        <v>0</v>
      </c>
      <c r="X18" s="2">
        <f t="shared" si="0"/>
        <v>166954.38</v>
      </c>
      <c r="Y18" s="2">
        <f t="shared" si="0"/>
        <v>93378.23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ROW(A48)</f>
        <v>48</v>
      </c>
      <c r="E20" s="1"/>
      <c r="F20" s="1" t="s">
        <v>9</v>
      </c>
      <c r="G20" s="1" t="s">
        <v>9</v>
      </c>
      <c r="H20" s="1"/>
      <c r="I20" s="1"/>
      <c r="J20" s="1" t="s">
        <v>2</v>
      </c>
      <c r="K20" s="1"/>
      <c r="L20" s="1"/>
      <c r="M20" s="1"/>
      <c r="N20" s="1" t="s">
        <v>2</v>
      </c>
      <c r="O20" s="1"/>
      <c r="P20" s="1"/>
      <c r="Q20" s="1"/>
      <c r="R20" s="1" t="s">
        <v>2</v>
      </c>
      <c r="S20" s="1" t="s">
        <v>2</v>
      </c>
      <c r="T20" s="1" t="s">
        <v>2</v>
      </c>
      <c r="U20" s="1" t="s">
        <v>2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2</v>
      </c>
      <c r="AP20" s="1" t="s">
        <v>2</v>
      </c>
      <c r="AQ20" s="1" t="s">
        <v>2</v>
      </c>
      <c r="AR20" s="1"/>
      <c r="AS20" s="1"/>
      <c r="AT20" s="1" t="s">
        <v>2</v>
      </c>
      <c r="AU20" s="1" t="s">
        <v>2</v>
      </c>
      <c r="AV20" s="1" t="s">
        <v>2</v>
      </c>
      <c r="AW20" s="1" t="s">
        <v>2</v>
      </c>
      <c r="AX20" s="1" t="s">
        <v>2</v>
      </c>
      <c r="AY20" s="1" t="s">
        <v>2</v>
      </c>
      <c r="AZ20" s="1" t="s">
        <v>2</v>
      </c>
      <c r="BA20" s="1" t="s">
        <v>2</v>
      </c>
      <c r="BB20" s="1" t="s">
        <v>2</v>
      </c>
      <c r="BC20" s="1" t="s">
        <v>2</v>
      </c>
      <c r="BD20" s="1" t="s">
        <v>2</v>
      </c>
      <c r="BE20" s="1" t="s">
        <v>10</v>
      </c>
      <c r="BF20" s="1">
        <v>0</v>
      </c>
      <c r="BG20" s="1">
        <v>0</v>
      </c>
      <c r="BH20" s="1" t="s">
        <v>2</v>
      </c>
      <c r="BI20" s="1" t="s">
        <v>2</v>
      </c>
      <c r="BJ20" s="1" t="s">
        <v>2</v>
      </c>
      <c r="BK20" s="1" t="s">
        <v>2</v>
      </c>
      <c r="BL20" s="1" t="s">
        <v>2</v>
      </c>
      <c r="BM20" s="1">
        <v>0</v>
      </c>
      <c r="BN20" s="1" t="s">
        <v>2</v>
      </c>
      <c r="BO20" s="1" t="s">
        <v>2</v>
      </c>
    </row>
    <row r="22" spans="1:43" ht="12.75">
      <c r="A22" s="2">
        <v>52</v>
      </c>
      <c r="B22" s="2">
        <f aca="true" t="shared" si="1" ref="B22:AQ22">B48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474839.63</v>
      </c>
      <c r="P22" s="2">
        <f t="shared" si="1"/>
        <v>253277.18</v>
      </c>
      <c r="Q22" s="2">
        <f t="shared" si="1"/>
        <v>9339.21</v>
      </c>
      <c r="R22" s="2">
        <f t="shared" si="1"/>
        <v>3804.3</v>
      </c>
      <c r="S22" s="2">
        <f t="shared" si="1"/>
        <v>212223.24</v>
      </c>
      <c r="T22" s="2">
        <f t="shared" si="1"/>
        <v>0</v>
      </c>
      <c r="U22" s="2">
        <f t="shared" si="1"/>
        <v>931.62</v>
      </c>
      <c r="V22" s="2">
        <f t="shared" si="1"/>
        <v>0</v>
      </c>
      <c r="W22" s="2">
        <f t="shared" si="1"/>
        <v>0</v>
      </c>
      <c r="X22" s="2">
        <f t="shared" si="1"/>
        <v>166954.38</v>
      </c>
      <c r="Y22" s="2">
        <f t="shared" si="1"/>
        <v>93378.23</v>
      </c>
      <c r="Z22" s="2">
        <f t="shared" si="1"/>
        <v>0</v>
      </c>
      <c r="AA22" s="2">
        <f t="shared" si="1"/>
        <v>0</v>
      </c>
      <c r="AB22" s="2">
        <f t="shared" si="1"/>
        <v>474839.63</v>
      </c>
      <c r="AC22" s="2">
        <f t="shared" si="1"/>
        <v>253277.18</v>
      </c>
      <c r="AD22" s="2">
        <f t="shared" si="1"/>
        <v>9339.21</v>
      </c>
      <c r="AE22" s="2">
        <f t="shared" si="1"/>
        <v>3804.3</v>
      </c>
      <c r="AF22" s="2">
        <f t="shared" si="1"/>
        <v>212223.24</v>
      </c>
      <c r="AG22" s="2">
        <f t="shared" si="1"/>
        <v>0</v>
      </c>
      <c r="AH22" s="2">
        <f t="shared" si="1"/>
        <v>931.62</v>
      </c>
      <c r="AI22" s="2">
        <f t="shared" si="1"/>
        <v>0</v>
      </c>
      <c r="AJ22" s="2">
        <f t="shared" si="1"/>
        <v>0</v>
      </c>
      <c r="AK22" s="2">
        <f t="shared" si="1"/>
        <v>166954.38</v>
      </c>
      <c r="AL22" s="2">
        <f t="shared" si="1"/>
        <v>93378.23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4" spans="1:181" ht="12.75">
      <c r="A24">
        <v>17</v>
      </c>
      <c r="B24">
        <v>1</v>
      </c>
      <c r="C24">
        <f>ROW(SmtRes!A3)</f>
        <v>3</v>
      </c>
      <c r="D24">
        <f>ROW(EtalonRes!A3)</f>
        <v>3</v>
      </c>
      <c r="E24" t="s">
        <v>11</v>
      </c>
      <c r="F24" t="s">
        <v>12</v>
      </c>
      <c r="G24" t="s">
        <v>13</v>
      </c>
      <c r="H24" t="s">
        <v>14</v>
      </c>
      <c r="I24">
        <v>1.5</v>
      </c>
      <c r="J24">
        <v>0</v>
      </c>
      <c r="O24">
        <f aca="true" t="shared" si="2" ref="O24:O46">ROUND(CP24,2)</f>
        <v>3124.84</v>
      </c>
      <c r="P24">
        <f aca="true" t="shared" si="3" ref="P24:P46">ROUND(CQ24*I24,2)</f>
        <v>0</v>
      </c>
      <c r="Q24">
        <f aca="true" t="shared" si="4" ref="Q24:Q46">ROUND(CR24*I24,2)</f>
        <v>9.33</v>
      </c>
      <c r="R24">
        <f aca="true" t="shared" si="5" ref="R24:R46">ROUND(CS24*I24,2)</f>
        <v>7.67</v>
      </c>
      <c r="S24">
        <f aca="true" t="shared" si="6" ref="S24:S46">ROUND(CT24*I24,2)</f>
        <v>3115.51</v>
      </c>
      <c r="T24">
        <f aca="true" t="shared" si="7" ref="T24:T46">ROUND(CU24*I24,2)</f>
        <v>0</v>
      </c>
      <c r="U24">
        <f aca="true" t="shared" si="8" ref="U24:U46">CV24*I24</f>
        <v>18.450000000000003</v>
      </c>
      <c r="V24">
        <f aca="true" t="shared" si="9" ref="V24:V46">CW24*I24</f>
        <v>0</v>
      </c>
      <c r="W24">
        <f aca="true" t="shared" si="10" ref="W24:W46">ROUND(CX24*I24,2)</f>
        <v>0</v>
      </c>
      <c r="X24">
        <f aca="true" t="shared" si="11" ref="X24:X46">ROUND(CY24,2)</f>
        <v>2243.17</v>
      </c>
      <c r="Y24">
        <f aca="true" t="shared" si="12" ref="Y24:Y46">ROUND(CZ24,2)</f>
        <v>1370.82</v>
      </c>
      <c r="AA24">
        <v>0</v>
      </c>
      <c r="AB24">
        <f aca="true" t="shared" si="13" ref="AB24:AB46">(AC24+AD24+AF24)</f>
        <v>122.47</v>
      </c>
      <c r="AC24">
        <f aca="true" t="shared" si="14" ref="AC24:AF25">(ES24)</f>
        <v>0</v>
      </c>
      <c r="AD24">
        <f t="shared" si="14"/>
        <v>0.58</v>
      </c>
      <c r="AE24">
        <f t="shared" si="14"/>
        <v>0.3</v>
      </c>
      <c r="AF24">
        <f t="shared" si="14"/>
        <v>121.89</v>
      </c>
      <c r="AG24">
        <f>(AP24)</f>
        <v>0</v>
      </c>
      <c r="AH24">
        <f>(EW24)</f>
        <v>12.3</v>
      </c>
      <c r="AI24">
        <f>(EX24)</f>
        <v>0</v>
      </c>
      <c r="AJ24">
        <f>(AS24)</f>
        <v>0</v>
      </c>
      <c r="AK24">
        <v>122.47</v>
      </c>
      <c r="AL24">
        <v>0</v>
      </c>
      <c r="AM24">
        <v>0.58</v>
      </c>
      <c r="AN24">
        <v>0.3</v>
      </c>
      <c r="AO24">
        <v>121.89</v>
      </c>
      <c r="AP24">
        <v>0</v>
      </c>
      <c r="AQ24">
        <v>12.3</v>
      </c>
      <c r="AR24">
        <v>0</v>
      </c>
      <c r="AS24">
        <v>0</v>
      </c>
      <c r="AT24">
        <v>72</v>
      </c>
      <c r="AU24">
        <v>44</v>
      </c>
      <c r="AV24">
        <v>1</v>
      </c>
      <c r="AW24">
        <v>1</v>
      </c>
      <c r="AX24">
        <v>1</v>
      </c>
      <c r="AY24">
        <v>1</v>
      </c>
      <c r="AZ24">
        <v>17.04</v>
      </c>
      <c r="BA24">
        <v>17.04</v>
      </c>
      <c r="BB24">
        <v>10.72</v>
      </c>
      <c r="BC24">
        <v>1</v>
      </c>
      <c r="BH24">
        <v>0</v>
      </c>
      <c r="BI24">
        <v>1</v>
      </c>
      <c r="BJ24" t="s">
        <v>15</v>
      </c>
      <c r="BM24">
        <v>406</v>
      </c>
      <c r="BN24">
        <v>0</v>
      </c>
      <c r="BO24" t="s">
        <v>12</v>
      </c>
      <c r="BP24">
        <v>1</v>
      </c>
      <c r="BQ24">
        <v>60</v>
      </c>
      <c r="BR24">
        <v>0</v>
      </c>
      <c r="BS24">
        <v>17.04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72</v>
      </c>
      <c r="CA24">
        <v>44</v>
      </c>
      <c r="CF24">
        <v>0</v>
      </c>
      <c r="CG24">
        <v>0</v>
      </c>
      <c r="CM24">
        <v>0</v>
      </c>
      <c r="CO24">
        <v>0</v>
      </c>
      <c r="CP24">
        <f aca="true" t="shared" si="15" ref="CP24:CP46">(P24+Q24+S24)</f>
        <v>3124.84</v>
      </c>
      <c r="CQ24">
        <f aca="true" t="shared" si="16" ref="CQ24:CQ46">((AC24*AW24))*BC24</f>
        <v>0</v>
      </c>
      <c r="CR24">
        <f aca="true" t="shared" si="17" ref="CR24:CR46">((AD24*AV24))*BB24</f>
        <v>6.2176</v>
      </c>
      <c r="CS24">
        <f aca="true" t="shared" si="18" ref="CS24:CS46">((AE24*AV24))*BS24</f>
        <v>5.111999999999999</v>
      </c>
      <c r="CT24">
        <f aca="true" t="shared" si="19" ref="CT24:CT46">((AF24*AV24))*BA24</f>
        <v>2077.0056</v>
      </c>
      <c r="CU24">
        <f aca="true" t="shared" si="20" ref="CU24:CU46">(AG24)*BT24</f>
        <v>0</v>
      </c>
      <c r="CV24">
        <f aca="true" t="shared" si="21" ref="CV24:CV46">((AH24*AV24))*BU24</f>
        <v>12.3</v>
      </c>
      <c r="CW24">
        <f aca="true" t="shared" si="22" ref="CW24:CW46">(AI24)*BV24</f>
        <v>0</v>
      </c>
      <c r="CX24">
        <f aca="true" t="shared" si="23" ref="CX24:CX46">(AJ24)*BW24</f>
        <v>0</v>
      </c>
      <c r="CY24">
        <f aca="true" t="shared" si="24" ref="CY24:CY46">S24*(BZ24/100)</f>
        <v>2243.1672</v>
      </c>
      <c r="CZ24">
        <f aca="true" t="shared" si="25" ref="CZ24:CZ46">S24*(CA24/100)</f>
        <v>1370.8244000000002</v>
      </c>
      <c r="DN24">
        <v>80</v>
      </c>
      <c r="DO24">
        <v>55</v>
      </c>
      <c r="DP24">
        <v>1.047</v>
      </c>
      <c r="DQ24">
        <v>1</v>
      </c>
      <c r="DR24">
        <v>1</v>
      </c>
      <c r="DS24">
        <v>1</v>
      </c>
      <c r="DT24">
        <v>1</v>
      </c>
      <c r="DU24">
        <v>1005</v>
      </c>
      <c r="DV24" t="s">
        <v>14</v>
      </c>
      <c r="DW24" t="s">
        <v>14</v>
      </c>
      <c r="DX24">
        <v>100</v>
      </c>
      <c r="EE24">
        <v>19684955</v>
      </c>
      <c r="EF24">
        <v>60</v>
      </c>
      <c r="EG24" t="s">
        <v>16</v>
      </c>
      <c r="EH24">
        <v>0</v>
      </c>
      <c r="EJ24">
        <v>1</v>
      </c>
      <c r="EK24">
        <v>406</v>
      </c>
      <c r="EL24" t="s">
        <v>17</v>
      </c>
      <c r="EM24" t="s">
        <v>18</v>
      </c>
      <c r="EQ24">
        <v>64</v>
      </c>
      <c r="ER24">
        <v>122.47</v>
      </c>
      <c r="ES24">
        <v>0</v>
      </c>
      <c r="ET24">
        <v>0.58</v>
      </c>
      <c r="EU24">
        <v>0.3</v>
      </c>
      <c r="EV24">
        <v>121.89</v>
      </c>
      <c r="EW24">
        <v>12.3</v>
      </c>
      <c r="EX24">
        <v>0</v>
      </c>
      <c r="EY24">
        <v>0</v>
      </c>
      <c r="EZ24">
        <v>0</v>
      </c>
      <c r="FQ24">
        <v>0</v>
      </c>
      <c r="FR24">
        <f aca="true" t="shared" si="26" ref="FR24:FR46">ROUND(IF(AND(AA24=0,BI24=3),P24,0),2)</f>
        <v>0</v>
      </c>
      <c r="FS24">
        <v>0</v>
      </c>
      <c r="FX24">
        <v>72</v>
      </c>
      <c r="FY24">
        <v>44</v>
      </c>
    </row>
    <row r="25" spans="1:181" ht="12.75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19</v>
      </c>
      <c r="F25" t="s">
        <v>20</v>
      </c>
      <c r="G25" t="s">
        <v>21</v>
      </c>
      <c r="H25" t="s">
        <v>22</v>
      </c>
      <c r="I25">
        <v>30.7546</v>
      </c>
      <c r="J25">
        <v>0</v>
      </c>
      <c r="O25">
        <f t="shared" si="2"/>
        <v>3212.48</v>
      </c>
      <c r="P25">
        <f t="shared" si="3"/>
        <v>0</v>
      </c>
      <c r="Q25">
        <f t="shared" si="4"/>
        <v>0</v>
      </c>
      <c r="R25">
        <f t="shared" si="5"/>
        <v>0</v>
      </c>
      <c r="S25">
        <f t="shared" si="6"/>
        <v>3212.48</v>
      </c>
      <c r="T25">
        <f t="shared" si="7"/>
        <v>0</v>
      </c>
      <c r="U25">
        <f t="shared" si="8"/>
        <v>18.452759999999998</v>
      </c>
      <c r="V25">
        <f t="shared" si="9"/>
        <v>0</v>
      </c>
      <c r="W25">
        <f t="shared" si="10"/>
        <v>0</v>
      </c>
      <c r="X25">
        <f t="shared" si="11"/>
        <v>2730.61</v>
      </c>
      <c r="Y25">
        <f t="shared" si="12"/>
        <v>1413.49</v>
      </c>
      <c r="AA25">
        <v>0</v>
      </c>
      <c r="AB25">
        <f t="shared" si="13"/>
        <v>6.13</v>
      </c>
      <c r="AC25">
        <f t="shared" si="14"/>
        <v>0</v>
      </c>
      <c r="AD25">
        <f t="shared" si="14"/>
        <v>0</v>
      </c>
      <c r="AE25">
        <f t="shared" si="14"/>
        <v>0</v>
      </c>
      <c r="AF25">
        <f t="shared" si="14"/>
        <v>6.13</v>
      </c>
      <c r="AG25">
        <f>(AP25)</f>
        <v>0</v>
      </c>
      <c r="AH25">
        <f>(EW25)</f>
        <v>0.6</v>
      </c>
      <c r="AI25">
        <f>(EX25)</f>
        <v>0</v>
      </c>
      <c r="AJ25">
        <f>(AS25)</f>
        <v>0</v>
      </c>
      <c r="AK25">
        <v>6.13</v>
      </c>
      <c r="AL25">
        <v>0</v>
      </c>
      <c r="AM25">
        <v>0</v>
      </c>
      <c r="AN25">
        <v>0</v>
      </c>
      <c r="AO25">
        <v>6.13</v>
      </c>
      <c r="AP25">
        <v>0</v>
      </c>
      <c r="AQ25">
        <v>0.6</v>
      </c>
      <c r="AR25">
        <v>0</v>
      </c>
      <c r="AS25">
        <v>0</v>
      </c>
      <c r="AT25">
        <v>85</v>
      </c>
      <c r="AU25">
        <v>44</v>
      </c>
      <c r="AV25">
        <v>1</v>
      </c>
      <c r="AW25">
        <v>1</v>
      </c>
      <c r="AX25">
        <v>1</v>
      </c>
      <c r="AY25">
        <v>1</v>
      </c>
      <c r="AZ25">
        <v>17.04</v>
      </c>
      <c r="BA25">
        <v>17.04</v>
      </c>
      <c r="BB25">
        <v>1</v>
      </c>
      <c r="BC25">
        <v>1</v>
      </c>
      <c r="BH25">
        <v>0</v>
      </c>
      <c r="BI25">
        <v>1</v>
      </c>
      <c r="BJ25" t="s">
        <v>23</v>
      </c>
      <c r="BM25">
        <v>478</v>
      </c>
      <c r="BN25">
        <v>0</v>
      </c>
      <c r="BO25" t="s">
        <v>20</v>
      </c>
      <c r="BP25">
        <v>1</v>
      </c>
      <c r="BQ25">
        <v>60</v>
      </c>
      <c r="BR25">
        <v>0</v>
      </c>
      <c r="BS25">
        <v>17.04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85</v>
      </c>
      <c r="CA25">
        <v>44</v>
      </c>
      <c r="CF25">
        <v>0</v>
      </c>
      <c r="CG25">
        <v>0</v>
      </c>
      <c r="CM25">
        <v>0</v>
      </c>
      <c r="CO25">
        <v>0</v>
      </c>
      <c r="CP25">
        <f t="shared" si="15"/>
        <v>3212.48</v>
      </c>
      <c r="CQ25">
        <f t="shared" si="16"/>
        <v>0</v>
      </c>
      <c r="CR25">
        <f t="shared" si="17"/>
        <v>0</v>
      </c>
      <c r="CS25">
        <f t="shared" si="18"/>
        <v>0</v>
      </c>
      <c r="CT25">
        <f t="shared" si="19"/>
        <v>104.45519999999999</v>
      </c>
      <c r="CU25">
        <f t="shared" si="20"/>
        <v>0</v>
      </c>
      <c r="CV25">
        <f t="shared" si="21"/>
        <v>0.6</v>
      </c>
      <c r="CW25">
        <f t="shared" si="22"/>
        <v>0</v>
      </c>
      <c r="CX25">
        <f t="shared" si="23"/>
        <v>0</v>
      </c>
      <c r="CY25">
        <f t="shared" si="24"/>
        <v>2730.6079999999997</v>
      </c>
      <c r="CZ25">
        <f t="shared" si="25"/>
        <v>1413.4912</v>
      </c>
      <c r="DN25">
        <v>100</v>
      </c>
      <c r="DO25">
        <v>64</v>
      </c>
      <c r="DP25">
        <v>1.025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22</v>
      </c>
      <c r="DW25" t="s">
        <v>22</v>
      </c>
      <c r="DX25">
        <v>1</v>
      </c>
      <c r="EE25">
        <v>19685027</v>
      </c>
      <c r="EF25">
        <v>60</v>
      </c>
      <c r="EG25" t="s">
        <v>16</v>
      </c>
      <c r="EH25">
        <v>0</v>
      </c>
      <c r="EJ25">
        <v>1</v>
      </c>
      <c r="EK25">
        <v>478</v>
      </c>
      <c r="EL25" t="s">
        <v>24</v>
      </c>
      <c r="EM25" t="s">
        <v>25</v>
      </c>
      <c r="EQ25">
        <v>64</v>
      </c>
      <c r="ER25">
        <v>6.13</v>
      </c>
      <c r="ES25">
        <v>0</v>
      </c>
      <c r="ET25">
        <v>0</v>
      </c>
      <c r="EU25">
        <v>0</v>
      </c>
      <c r="EV25">
        <v>6.13</v>
      </c>
      <c r="EW25">
        <v>0.6</v>
      </c>
      <c r="EX25">
        <v>0</v>
      </c>
      <c r="EY25">
        <v>0</v>
      </c>
      <c r="EZ25">
        <v>0</v>
      </c>
      <c r="FQ25">
        <v>0</v>
      </c>
      <c r="FR25">
        <f t="shared" si="26"/>
        <v>0</v>
      </c>
      <c r="FS25">
        <v>0</v>
      </c>
      <c r="FX25">
        <v>85</v>
      </c>
      <c r="FY25">
        <v>44</v>
      </c>
    </row>
    <row r="26" spans="1:181" ht="12.75">
      <c r="A26">
        <v>17</v>
      </c>
      <c r="B26">
        <v>1</v>
      </c>
      <c r="C26">
        <f>ROW(SmtRes!A18)</f>
        <v>18</v>
      </c>
      <c r="D26">
        <f>ROW(EtalonRes!A15)</f>
        <v>15</v>
      </c>
      <c r="E26" t="s">
        <v>26</v>
      </c>
      <c r="F26" t="s">
        <v>27</v>
      </c>
      <c r="G26" t="s">
        <v>28</v>
      </c>
      <c r="H26" t="s">
        <v>29</v>
      </c>
      <c r="I26">
        <v>2.845932</v>
      </c>
      <c r="J26">
        <v>0</v>
      </c>
      <c r="O26">
        <f t="shared" si="2"/>
        <v>76516.68</v>
      </c>
      <c r="P26">
        <f t="shared" si="3"/>
        <v>4501.59</v>
      </c>
      <c r="Q26">
        <f t="shared" si="4"/>
        <v>5025.51</v>
      </c>
      <c r="R26">
        <f t="shared" si="5"/>
        <v>1708.83</v>
      </c>
      <c r="S26">
        <f t="shared" si="6"/>
        <v>66989.58</v>
      </c>
      <c r="T26">
        <f t="shared" si="7"/>
        <v>0</v>
      </c>
      <c r="U26">
        <f t="shared" si="8"/>
        <v>297.8267838</v>
      </c>
      <c r="V26">
        <f t="shared" si="9"/>
        <v>0</v>
      </c>
      <c r="W26">
        <f t="shared" si="10"/>
        <v>0</v>
      </c>
      <c r="X26">
        <f t="shared" si="11"/>
        <v>48232.5</v>
      </c>
      <c r="Y26">
        <f t="shared" si="12"/>
        <v>29475.42</v>
      </c>
      <c r="AA26">
        <v>0</v>
      </c>
      <c r="AB26">
        <f t="shared" si="13"/>
        <v>1817.1875</v>
      </c>
      <c r="AC26">
        <f>(ES26)</f>
        <v>154.62</v>
      </c>
      <c r="AD26">
        <f>((ET26*1.25))</f>
        <v>281.1875</v>
      </c>
      <c r="AE26">
        <f>((EU26*1.25))</f>
        <v>35.237500000000004</v>
      </c>
      <c r="AF26">
        <f>((EV26*1.15))</f>
        <v>1381.3799999999999</v>
      </c>
      <c r="AG26">
        <f>(AP26)</f>
        <v>0</v>
      </c>
      <c r="AH26">
        <f>((EW26*1.15))</f>
        <v>104.64999999999999</v>
      </c>
      <c r="AI26">
        <f>((EX26*1.25))</f>
        <v>0</v>
      </c>
      <c r="AJ26">
        <f>(AS26)</f>
        <v>0</v>
      </c>
      <c r="AK26">
        <v>1580.77</v>
      </c>
      <c r="AL26">
        <v>154.62</v>
      </c>
      <c r="AM26">
        <v>224.95</v>
      </c>
      <c r="AN26">
        <v>28.19</v>
      </c>
      <c r="AO26">
        <v>1201.2</v>
      </c>
      <c r="AP26">
        <v>0</v>
      </c>
      <c r="AQ26">
        <v>91</v>
      </c>
      <c r="AR26">
        <v>0</v>
      </c>
      <c r="AS26">
        <v>0</v>
      </c>
      <c r="AT26">
        <v>72</v>
      </c>
      <c r="AU26">
        <v>44</v>
      </c>
      <c r="AV26">
        <v>1</v>
      </c>
      <c r="AW26">
        <v>1</v>
      </c>
      <c r="AX26">
        <v>1</v>
      </c>
      <c r="AY26">
        <v>1</v>
      </c>
      <c r="AZ26">
        <v>17.04</v>
      </c>
      <c r="BA26">
        <v>17.04</v>
      </c>
      <c r="BB26">
        <v>6.28</v>
      </c>
      <c r="BC26">
        <v>10.23</v>
      </c>
      <c r="BH26">
        <v>0</v>
      </c>
      <c r="BI26">
        <v>1</v>
      </c>
      <c r="BJ26" t="s">
        <v>30</v>
      </c>
      <c r="BM26">
        <v>80</v>
      </c>
      <c r="BN26">
        <v>0</v>
      </c>
      <c r="BO26" t="s">
        <v>27</v>
      </c>
      <c r="BP26">
        <v>1</v>
      </c>
      <c r="BQ26">
        <v>30</v>
      </c>
      <c r="BR26">
        <v>0</v>
      </c>
      <c r="BS26">
        <v>17.04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72</v>
      </c>
      <c r="CA26">
        <v>44</v>
      </c>
      <c r="CF26">
        <v>0</v>
      </c>
      <c r="CG26">
        <v>0</v>
      </c>
      <c r="CM26">
        <v>0</v>
      </c>
      <c r="CO26">
        <v>0</v>
      </c>
      <c r="CP26">
        <f t="shared" si="15"/>
        <v>76516.68000000001</v>
      </c>
      <c r="CQ26">
        <f t="shared" si="16"/>
        <v>1581.7626</v>
      </c>
      <c r="CR26">
        <f t="shared" si="17"/>
        <v>1765.8575</v>
      </c>
      <c r="CS26">
        <f t="shared" si="18"/>
        <v>600.447</v>
      </c>
      <c r="CT26">
        <f t="shared" si="19"/>
        <v>23538.715199999995</v>
      </c>
      <c r="CU26">
        <f t="shared" si="20"/>
        <v>0</v>
      </c>
      <c r="CV26">
        <f t="shared" si="21"/>
        <v>104.64999999999999</v>
      </c>
      <c r="CW26">
        <f t="shared" si="22"/>
        <v>0</v>
      </c>
      <c r="CX26">
        <f t="shared" si="23"/>
        <v>0</v>
      </c>
      <c r="CY26">
        <f t="shared" si="24"/>
        <v>48232.4976</v>
      </c>
      <c r="CZ26">
        <f t="shared" si="25"/>
        <v>29475.4152</v>
      </c>
      <c r="DE26" t="s">
        <v>31</v>
      </c>
      <c r="DF26" t="s">
        <v>31</v>
      </c>
      <c r="DG26" t="s">
        <v>32</v>
      </c>
      <c r="DI26" t="s">
        <v>32</v>
      </c>
      <c r="DJ26" t="s">
        <v>31</v>
      </c>
      <c r="DN26">
        <v>85</v>
      </c>
      <c r="DO26">
        <v>70</v>
      </c>
      <c r="DP26">
        <v>1.087</v>
      </c>
      <c r="DQ26">
        <v>1</v>
      </c>
      <c r="DR26">
        <v>1</v>
      </c>
      <c r="DS26">
        <v>1</v>
      </c>
      <c r="DT26">
        <v>1</v>
      </c>
      <c r="DU26">
        <v>1009</v>
      </c>
      <c r="DV26" t="s">
        <v>29</v>
      </c>
      <c r="DW26" t="s">
        <v>29</v>
      </c>
      <c r="DX26">
        <v>1000</v>
      </c>
      <c r="EE26">
        <v>19684629</v>
      </c>
      <c r="EF26">
        <v>30</v>
      </c>
      <c r="EG26" t="s">
        <v>33</v>
      </c>
      <c r="EH26">
        <v>0</v>
      </c>
      <c r="EJ26">
        <v>1</v>
      </c>
      <c r="EK26">
        <v>80</v>
      </c>
      <c r="EL26" t="s">
        <v>34</v>
      </c>
      <c r="EM26" t="s">
        <v>35</v>
      </c>
      <c r="EQ26">
        <v>64</v>
      </c>
      <c r="ER26">
        <v>1580.77</v>
      </c>
      <c r="ES26">
        <v>154.62</v>
      </c>
      <c r="ET26">
        <v>224.95</v>
      </c>
      <c r="EU26">
        <v>28.19</v>
      </c>
      <c r="EV26">
        <v>1201.2</v>
      </c>
      <c r="EW26">
        <v>91</v>
      </c>
      <c r="EX26">
        <v>0</v>
      </c>
      <c r="EY26">
        <v>0</v>
      </c>
      <c r="EZ26">
        <v>0</v>
      </c>
      <c r="FQ26">
        <v>0</v>
      </c>
      <c r="FR26">
        <f t="shared" si="26"/>
        <v>0</v>
      </c>
      <c r="FS26">
        <v>0</v>
      </c>
      <c r="FX26">
        <v>72</v>
      </c>
      <c r="FY26">
        <v>44</v>
      </c>
    </row>
    <row r="27" spans="1:181" ht="12.75">
      <c r="A27">
        <v>18</v>
      </c>
      <c r="B27">
        <v>1</v>
      </c>
      <c r="C27">
        <v>14</v>
      </c>
      <c r="E27" t="s">
        <v>36</v>
      </c>
      <c r="F27" t="s">
        <v>37</v>
      </c>
      <c r="G27" t="s">
        <v>38</v>
      </c>
      <c r="H27" t="s">
        <v>29</v>
      </c>
      <c r="I27">
        <f>I26*J27</f>
        <v>2.020942</v>
      </c>
      <c r="J27">
        <v>0.710116053370214</v>
      </c>
      <c r="O27">
        <f t="shared" si="2"/>
        <v>48570.74</v>
      </c>
      <c r="P27">
        <f t="shared" si="3"/>
        <v>48570.74</v>
      </c>
      <c r="Q27">
        <f t="shared" si="4"/>
        <v>0</v>
      </c>
      <c r="R27">
        <f t="shared" si="5"/>
        <v>0</v>
      </c>
      <c r="S27">
        <f t="shared" si="6"/>
        <v>0</v>
      </c>
      <c r="T27">
        <f t="shared" si="7"/>
        <v>0</v>
      </c>
      <c r="U27">
        <f t="shared" si="8"/>
        <v>0</v>
      </c>
      <c r="V27">
        <f t="shared" si="9"/>
        <v>0</v>
      </c>
      <c r="W27">
        <f t="shared" si="10"/>
        <v>0</v>
      </c>
      <c r="X27">
        <f t="shared" si="11"/>
        <v>0</v>
      </c>
      <c r="Y27">
        <f t="shared" si="12"/>
        <v>0</v>
      </c>
      <c r="AA27">
        <v>0</v>
      </c>
      <c r="AB27">
        <f t="shared" si="13"/>
        <v>11666.85</v>
      </c>
      <c r="AC27">
        <f aca="true" t="shared" si="27" ref="AC27:AJ29">AL27</f>
        <v>11666.85</v>
      </c>
      <c r="AD27">
        <f t="shared" si="27"/>
        <v>0</v>
      </c>
      <c r="AE27">
        <f t="shared" si="27"/>
        <v>0</v>
      </c>
      <c r="AF27">
        <f t="shared" si="27"/>
        <v>0</v>
      </c>
      <c r="AG27">
        <f t="shared" si="27"/>
        <v>0</v>
      </c>
      <c r="AH27">
        <f t="shared" si="27"/>
        <v>0</v>
      </c>
      <c r="AI27">
        <f t="shared" si="27"/>
        <v>0</v>
      </c>
      <c r="AJ27">
        <f t="shared" si="27"/>
        <v>0</v>
      </c>
      <c r="AK27">
        <v>11666.85</v>
      </c>
      <c r="AL27">
        <v>11666.85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2.06</v>
      </c>
      <c r="BH27">
        <v>3</v>
      </c>
      <c r="BI27">
        <v>1</v>
      </c>
      <c r="BJ27" t="s">
        <v>39</v>
      </c>
      <c r="BM27">
        <v>80</v>
      </c>
      <c r="BN27">
        <v>0</v>
      </c>
      <c r="BO27" t="s">
        <v>37</v>
      </c>
      <c r="BP27">
        <v>1</v>
      </c>
      <c r="BQ27">
        <v>30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0</v>
      </c>
      <c r="CA27">
        <v>0</v>
      </c>
      <c r="CF27">
        <v>0</v>
      </c>
      <c r="CG27">
        <v>0</v>
      </c>
      <c r="CM27">
        <v>0</v>
      </c>
      <c r="CO27">
        <v>0</v>
      </c>
      <c r="CP27">
        <f t="shared" si="15"/>
        <v>48570.74</v>
      </c>
      <c r="CQ27">
        <f t="shared" si="16"/>
        <v>24033.711000000003</v>
      </c>
      <c r="CR27">
        <f t="shared" si="17"/>
        <v>0</v>
      </c>
      <c r="CS27">
        <f t="shared" si="18"/>
        <v>0</v>
      </c>
      <c r="CT27">
        <f t="shared" si="19"/>
        <v>0</v>
      </c>
      <c r="CU27">
        <f t="shared" si="20"/>
        <v>0</v>
      </c>
      <c r="CV27">
        <f t="shared" si="21"/>
        <v>0</v>
      </c>
      <c r="CW27">
        <f t="shared" si="22"/>
        <v>0</v>
      </c>
      <c r="CX27">
        <f t="shared" si="23"/>
        <v>0</v>
      </c>
      <c r="CY27">
        <f t="shared" si="24"/>
        <v>0</v>
      </c>
      <c r="CZ27">
        <f t="shared" si="25"/>
        <v>0</v>
      </c>
      <c r="DN27">
        <v>85</v>
      </c>
      <c r="DO27">
        <v>70</v>
      </c>
      <c r="DP27">
        <v>1.087</v>
      </c>
      <c r="DQ27">
        <v>1</v>
      </c>
      <c r="DR27">
        <v>1</v>
      </c>
      <c r="DS27">
        <v>1</v>
      </c>
      <c r="DT27">
        <v>1</v>
      </c>
      <c r="DU27">
        <v>1009</v>
      </c>
      <c r="DV27" t="s">
        <v>29</v>
      </c>
      <c r="DW27" t="s">
        <v>29</v>
      </c>
      <c r="DX27">
        <v>1000</v>
      </c>
      <c r="EE27">
        <v>19684629</v>
      </c>
      <c r="EF27">
        <v>30</v>
      </c>
      <c r="EG27" t="s">
        <v>33</v>
      </c>
      <c r="EH27">
        <v>0</v>
      </c>
      <c r="EJ27">
        <v>1</v>
      </c>
      <c r="EK27">
        <v>80</v>
      </c>
      <c r="EL27" t="s">
        <v>34</v>
      </c>
      <c r="EM27" t="s">
        <v>35</v>
      </c>
      <c r="EQ27">
        <v>0</v>
      </c>
      <c r="ER27">
        <v>11666.85</v>
      </c>
      <c r="ES27">
        <v>11666.85</v>
      </c>
      <c r="ET27">
        <v>0</v>
      </c>
      <c r="EU27">
        <v>0</v>
      </c>
      <c r="EV27">
        <v>0</v>
      </c>
      <c r="EW27">
        <v>0</v>
      </c>
      <c r="EX27">
        <v>0</v>
      </c>
      <c r="EZ27">
        <v>0</v>
      </c>
      <c r="FQ27">
        <v>0</v>
      </c>
      <c r="FR27">
        <f t="shared" si="26"/>
        <v>0</v>
      </c>
      <c r="FS27">
        <v>0</v>
      </c>
      <c r="FX27">
        <v>0</v>
      </c>
      <c r="FY27">
        <v>0</v>
      </c>
    </row>
    <row r="28" spans="1:181" ht="12.75">
      <c r="A28">
        <v>18</v>
      </c>
      <c r="B28">
        <v>1</v>
      </c>
      <c r="C28">
        <v>16</v>
      </c>
      <c r="E28" t="s">
        <v>40</v>
      </c>
      <c r="F28" t="s">
        <v>41</v>
      </c>
      <c r="G28" t="s">
        <v>42</v>
      </c>
      <c r="H28" t="s">
        <v>29</v>
      </c>
      <c r="I28">
        <f>I26*J28</f>
        <v>0.611838</v>
      </c>
      <c r="J28">
        <v>0.21498686546270257</v>
      </c>
      <c r="O28">
        <f t="shared" si="2"/>
        <v>14768.03</v>
      </c>
      <c r="P28">
        <f t="shared" si="3"/>
        <v>14768.03</v>
      </c>
      <c r="Q28">
        <f t="shared" si="4"/>
        <v>0</v>
      </c>
      <c r="R28">
        <f t="shared" si="5"/>
        <v>0</v>
      </c>
      <c r="S28">
        <f t="shared" si="6"/>
        <v>0</v>
      </c>
      <c r="T28">
        <f t="shared" si="7"/>
        <v>0</v>
      </c>
      <c r="U28">
        <f t="shared" si="8"/>
        <v>0</v>
      </c>
      <c r="V28">
        <f t="shared" si="9"/>
        <v>0</v>
      </c>
      <c r="W28">
        <f t="shared" si="10"/>
        <v>0</v>
      </c>
      <c r="X28">
        <f t="shared" si="11"/>
        <v>0</v>
      </c>
      <c r="Y28">
        <f t="shared" si="12"/>
        <v>0</v>
      </c>
      <c r="AA28">
        <v>0</v>
      </c>
      <c r="AB28">
        <f t="shared" si="13"/>
        <v>11604.4</v>
      </c>
      <c r="AC28">
        <f t="shared" si="27"/>
        <v>11604.4</v>
      </c>
      <c r="AD28">
        <f t="shared" si="27"/>
        <v>0</v>
      </c>
      <c r="AE28">
        <f t="shared" si="27"/>
        <v>0</v>
      </c>
      <c r="AF28">
        <f t="shared" si="27"/>
        <v>0</v>
      </c>
      <c r="AG28">
        <f t="shared" si="27"/>
        <v>0</v>
      </c>
      <c r="AH28">
        <f t="shared" si="27"/>
        <v>0</v>
      </c>
      <c r="AI28">
        <f t="shared" si="27"/>
        <v>0</v>
      </c>
      <c r="AJ28">
        <f t="shared" si="27"/>
        <v>0</v>
      </c>
      <c r="AK28">
        <v>11604.4</v>
      </c>
      <c r="AL28">
        <v>11604.4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2.08</v>
      </c>
      <c r="BH28">
        <v>3</v>
      </c>
      <c r="BI28">
        <v>1</v>
      </c>
      <c r="BJ28" t="s">
        <v>43</v>
      </c>
      <c r="BM28">
        <v>80</v>
      </c>
      <c r="BN28">
        <v>0</v>
      </c>
      <c r="BO28" t="s">
        <v>41</v>
      </c>
      <c r="BP28">
        <v>1</v>
      </c>
      <c r="BQ28">
        <v>30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0</v>
      </c>
      <c r="CA28">
        <v>0</v>
      </c>
      <c r="CF28">
        <v>0</v>
      </c>
      <c r="CG28">
        <v>0</v>
      </c>
      <c r="CM28">
        <v>0</v>
      </c>
      <c r="CO28">
        <v>0</v>
      </c>
      <c r="CP28">
        <f t="shared" si="15"/>
        <v>14768.03</v>
      </c>
      <c r="CQ28">
        <f t="shared" si="16"/>
        <v>24137.152000000002</v>
      </c>
      <c r="CR28">
        <f t="shared" si="17"/>
        <v>0</v>
      </c>
      <c r="CS28">
        <f t="shared" si="18"/>
        <v>0</v>
      </c>
      <c r="CT28">
        <f t="shared" si="19"/>
        <v>0</v>
      </c>
      <c r="CU28">
        <f t="shared" si="20"/>
        <v>0</v>
      </c>
      <c r="CV28">
        <f t="shared" si="21"/>
        <v>0</v>
      </c>
      <c r="CW28">
        <f t="shared" si="22"/>
        <v>0</v>
      </c>
      <c r="CX28">
        <f t="shared" si="23"/>
        <v>0</v>
      </c>
      <c r="CY28">
        <f t="shared" si="24"/>
        <v>0</v>
      </c>
      <c r="CZ28">
        <f t="shared" si="25"/>
        <v>0</v>
      </c>
      <c r="DN28">
        <v>85</v>
      </c>
      <c r="DO28">
        <v>70</v>
      </c>
      <c r="DP28">
        <v>1.087</v>
      </c>
      <c r="DQ28">
        <v>1</v>
      </c>
      <c r="DR28">
        <v>1</v>
      </c>
      <c r="DS28">
        <v>1</v>
      </c>
      <c r="DT28">
        <v>1</v>
      </c>
      <c r="DU28">
        <v>1009</v>
      </c>
      <c r="DV28" t="s">
        <v>29</v>
      </c>
      <c r="DW28" t="s">
        <v>29</v>
      </c>
      <c r="DX28">
        <v>1000</v>
      </c>
      <c r="EE28">
        <v>19684629</v>
      </c>
      <c r="EF28">
        <v>30</v>
      </c>
      <c r="EG28" t="s">
        <v>33</v>
      </c>
      <c r="EH28">
        <v>0</v>
      </c>
      <c r="EJ28">
        <v>1</v>
      </c>
      <c r="EK28">
        <v>80</v>
      </c>
      <c r="EL28" t="s">
        <v>34</v>
      </c>
      <c r="EM28" t="s">
        <v>35</v>
      </c>
      <c r="EQ28">
        <v>0</v>
      </c>
      <c r="ER28">
        <v>11604.4</v>
      </c>
      <c r="ES28">
        <v>11604.4</v>
      </c>
      <c r="ET28">
        <v>0</v>
      </c>
      <c r="EU28">
        <v>0</v>
      </c>
      <c r="EV28">
        <v>0</v>
      </c>
      <c r="EW28">
        <v>0</v>
      </c>
      <c r="EX28">
        <v>0</v>
      </c>
      <c r="EZ28">
        <v>0</v>
      </c>
      <c r="FQ28">
        <v>0</v>
      </c>
      <c r="FR28">
        <f t="shared" si="26"/>
        <v>0</v>
      </c>
      <c r="FS28">
        <v>0</v>
      </c>
      <c r="FX28">
        <v>0</v>
      </c>
      <c r="FY28">
        <v>0</v>
      </c>
    </row>
    <row r="29" spans="1:181" ht="12.75">
      <c r="A29">
        <v>18</v>
      </c>
      <c r="B29">
        <v>1</v>
      </c>
      <c r="C29">
        <v>15</v>
      </c>
      <c r="E29" t="s">
        <v>44</v>
      </c>
      <c r="F29" t="s">
        <v>45</v>
      </c>
      <c r="G29" t="s">
        <v>46</v>
      </c>
      <c r="H29" t="s">
        <v>29</v>
      </c>
      <c r="I29">
        <f>I26*J29</f>
        <v>0.31081</v>
      </c>
      <c r="J29">
        <v>0.1092120261482003</v>
      </c>
      <c r="O29">
        <f t="shared" si="2"/>
        <v>7698.98</v>
      </c>
      <c r="P29">
        <f t="shared" si="3"/>
        <v>7698.98</v>
      </c>
      <c r="Q29">
        <f t="shared" si="4"/>
        <v>0</v>
      </c>
      <c r="R29">
        <f t="shared" si="5"/>
        <v>0</v>
      </c>
      <c r="S29">
        <f t="shared" si="6"/>
        <v>0</v>
      </c>
      <c r="T29">
        <f t="shared" si="7"/>
        <v>0</v>
      </c>
      <c r="U29">
        <f t="shared" si="8"/>
        <v>0</v>
      </c>
      <c r="V29">
        <f t="shared" si="9"/>
        <v>0</v>
      </c>
      <c r="W29">
        <f t="shared" si="10"/>
        <v>0</v>
      </c>
      <c r="X29">
        <f t="shared" si="11"/>
        <v>0</v>
      </c>
      <c r="Y29">
        <f t="shared" si="12"/>
        <v>0</v>
      </c>
      <c r="AA29">
        <v>0</v>
      </c>
      <c r="AB29">
        <f t="shared" si="13"/>
        <v>11966.52</v>
      </c>
      <c r="AC29">
        <f t="shared" si="27"/>
        <v>11966.52</v>
      </c>
      <c r="AD29">
        <f t="shared" si="27"/>
        <v>0</v>
      </c>
      <c r="AE29">
        <f t="shared" si="27"/>
        <v>0</v>
      </c>
      <c r="AF29">
        <f t="shared" si="27"/>
        <v>0</v>
      </c>
      <c r="AG29">
        <f t="shared" si="27"/>
        <v>0</v>
      </c>
      <c r="AH29">
        <f t="shared" si="27"/>
        <v>0</v>
      </c>
      <c r="AI29">
        <f t="shared" si="27"/>
        <v>0</v>
      </c>
      <c r="AJ29">
        <f t="shared" si="27"/>
        <v>0</v>
      </c>
      <c r="AK29">
        <v>11966.52</v>
      </c>
      <c r="AL29">
        <v>11966.52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2.07</v>
      </c>
      <c r="BH29">
        <v>3</v>
      </c>
      <c r="BI29">
        <v>1</v>
      </c>
      <c r="BJ29" t="s">
        <v>47</v>
      </c>
      <c r="BM29">
        <v>80</v>
      </c>
      <c r="BN29">
        <v>0</v>
      </c>
      <c r="BO29" t="s">
        <v>45</v>
      </c>
      <c r="BP29">
        <v>1</v>
      </c>
      <c r="BQ29">
        <v>30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0</v>
      </c>
      <c r="CA29">
        <v>0</v>
      </c>
      <c r="CF29">
        <v>0</v>
      </c>
      <c r="CG29">
        <v>0</v>
      </c>
      <c r="CM29">
        <v>0</v>
      </c>
      <c r="CO29">
        <v>0</v>
      </c>
      <c r="CP29">
        <f t="shared" si="15"/>
        <v>7698.98</v>
      </c>
      <c r="CQ29">
        <f t="shared" si="16"/>
        <v>24770.6964</v>
      </c>
      <c r="CR29">
        <f t="shared" si="17"/>
        <v>0</v>
      </c>
      <c r="CS29">
        <f t="shared" si="18"/>
        <v>0</v>
      </c>
      <c r="CT29">
        <f t="shared" si="19"/>
        <v>0</v>
      </c>
      <c r="CU29">
        <f t="shared" si="20"/>
        <v>0</v>
      </c>
      <c r="CV29">
        <f t="shared" si="21"/>
        <v>0</v>
      </c>
      <c r="CW29">
        <f t="shared" si="22"/>
        <v>0</v>
      </c>
      <c r="CX29">
        <f t="shared" si="23"/>
        <v>0</v>
      </c>
      <c r="CY29">
        <f t="shared" si="24"/>
        <v>0</v>
      </c>
      <c r="CZ29">
        <f t="shared" si="25"/>
        <v>0</v>
      </c>
      <c r="DN29">
        <v>85</v>
      </c>
      <c r="DO29">
        <v>70</v>
      </c>
      <c r="DP29">
        <v>1.087</v>
      </c>
      <c r="DQ29">
        <v>1</v>
      </c>
      <c r="DR29">
        <v>1</v>
      </c>
      <c r="DS29">
        <v>1</v>
      </c>
      <c r="DT29">
        <v>1</v>
      </c>
      <c r="DU29">
        <v>1009</v>
      </c>
      <c r="DV29" t="s">
        <v>29</v>
      </c>
      <c r="DW29" t="s">
        <v>29</v>
      </c>
      <c r="DX29">
        <v>1000</v>
      </c>
      <c r="EE29">
        <v>19684629</v>
      </c>
      <c r="EF29">
        <v>30</v>
      </c>
      <c r="EG29" t="s">
        <v>33</v>
      </c>
      <c r="EH29">
        <v>0</v>
      </c>
      <c r="EJ29">
        <v>1</v>
      </c>
      <c r="EK29">
        <v>80</v>
      </c>
      <c r="EL29" t="s">
        <v>34</v>
      </c>
      <c r="EM29" t="s">
        <v>35</v>
      </c>
      <c r="EQ29">
        <v>0</v>
      </c>
      <c r="ER29">
        <v>11966.52</v>
      </c>
      <c r="ES29">
        <v>11966.52</v>
      </c>
      <c r="ET29">
        <v>0</v>
      </c>
      <c r="EU29">
        <v>0</v>
      </c>
      <c r="EV29">
        <v>0</v>
      </c>
      <c r="EW29">
        <v>0</v>
      </c>
      <c r="EX29">
        <v>0</v>
      </c>
      <c r="EZ29">
        <v>0</v>
      </c>
      <c r="FQ29">
        <v>0</v>
      </c>
      <c r="FR29">
        <f t="shared" si="26"/>
        <v>0</v>
      </c>
      <c r="FS29">
        <v>0</v>
      </c>
      <c r="FX29">
        <v>0</v>
      </c>
      <c r="FY29">
        <v>0</v>
      </c>
    </row>
    <row r="30" spans="1:181" ht="12.75">
      <c r="A30">
        <v>17</v>
      </c>
      <c r="B30">
        <v>1</v>
      </c>
      <c r="C30">
        <f>ROW(SmtRes!A23)</f>
        <v>23</v>
      </c>
      <c r="D30">
        <f>ROW(EtalonRes!A20)</f>
        <v>20</v>
      </c>
      <c r="E30" t="s">
        <v>48</v>
      </c>
      <c r="F30" t="s">
        <v>49</v>
      </c>
      <c r="G30" t="s">
        <v>50</v>
      </c>
      <c r="H30" t="s">
        <v>29</v>
      </c>
      <c r="I30">
        <f>Source!I26</f>
        <v>2.845932</v>
      </c>
      <c r="J30">
        <v>0</v>
      </c>
      <c r="O30">
        <f t="shared" si="2"/>
        <v>30881.86</v>
      </c>
      <c r="P30">
        <f t="shared" si="3"/>
        <v>577.46</v>
      </c>
      <c r="Q30">
        <f t="shared" si="4"/>
        <v>1189.7</v>
      </c>
      <c r="R30">
        <f t="shared" si="5"/>
        <v>536.47</v>
      </c>
      <c r="S30">
        <f t="shared" si="6"/>
        <v>29114.7</v>
      </c>
      <c r="T30">
        <f t="shared" si="7"/>
        <v>0</v>
      </c>
      <c r="U30">
        <f t="shared" si="8"/>
        <v>129.44010218999998</v>
      </c>
      <c r="V30">
        <f t="shared" si="9"/>
        <v>0</v>
      </c>
      <c r="W30">
        <f t="shared" si="10"/>
        <v>0</v>
      </c>
      <c r="X30">
        <f t="shared" si="11"/>
        <v>20962.58</v>
      </c>
      <c r="Y30">
        <f t="shared" si="12"/>
        <v>12810.47</v>
      </c>
      <c r="AA30">
        <v>0</v>
      </c>
      <c r="AB30">
        <f t="shared" si="13"/>
        <v>689.1914999999999</v>
      </c>
      <c r="AC30">
        <f>(ES30)</f>
        <v>42.01</v>
      </c>
      <c r="AD30">
        <f>((ET30*1.25))</f>
        <v>46.8125</v>
      </c>
      <c r="AE30">
        <f>((EU30*1.25))</f>
        <v>11.0625</v>
      </c>
      <c r="AF30">
        <f>((EV30*1.15))</f>
        <v>600.3689999999999</v>
      </c>
      <c r="AG30">
        <f>(AP30)</f>
        <v>0</v>
      </c>
      <c r="AH30">
        <f>((EW30*1.15))</f>
        <v>45.482499999999995</v>
      </c>
      <c r="AI30">
        <f>((EX30*1.25))</f>
        <v>0</v>
      </c>
      <c r="AJ30">
        <f>(AS30)</f>
        <v>0</v>
      </c>
      <c r="AK30">
        <v>601.52</v>
      </c>
      <c r="AL30">
        <v>42.01</v>
      </c>
      <c r="AM30">
        <v>37.45</v>
      </c>
      <c r="AN30">
        <v>8.85</v>
      </c>
      <c r="AO30">
        <v>522.06</v>
      </c>
      <c r="AP30">
        <v>0</v>
      </c>
      <c r="AQ30">
        <v>39.55</v>
      </c>
      <c r="AR30">
        <v>0</v>
      </c>
      <c r="AS30">
        <v>0</v>
      </c>
      <c r="AT30">
        <v>72</v>
      </c>
      <c r="AU30">
        <v>44</v>
      </c>
      <c r="AV30">
        <v>1</v>
      </c>
      <c r="AW30">
        <v>1</v>
      </c>
      <c r="AX30">
        <v>1</v>
      </c>
      <c r="AY30">
        <v>1</v>
      </c>
      <c r="AZ30">
        <v>17.04</v>
      </c>
      <c r="BA30">
        <v>17.04</v>
      </c>
      <c r="BB30">
        <v>8.93</v>
      </c>
      <c r="BC30">
        <v>4.83</v>
      </c>
      <c r="BH30">
        <v>0</v>
      </c>
      <c r="BI30">
        <v>1</v>
      </c>
      <c r="BJ30" t="s">
        <v>51</v>
      </c>
      <c r="BM30">
        <v>80</v>
      </c>
      <c r="BN30">
        <v>0</v>
      </c>
      <c r="BO30" t="s">
        <v>49</v>
      </c>
      <c r="BP30">
        <v>1</v>
      </c>
      <c r="BQ30">
        <v>30</v>
      </c>
      <c r="BR30">
        <v>0</v>
      </c>
      <c r="BS30">
        <v>17.04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72</v>
      </c>
      <c r="CA30">
        <v>44</v>
      </c>
      <c r="CF30">
        <v>0</v>
      </c>
      <c r="CG30">
        <v>0</v>
      </c>
      <c r="CM30">
        <v>0</v>
      </c>
      <c r="CO30">
        <v>0</v>
      </c>
      <c r="CP30">
        <f t="shared" si="15"/>
        <v>30881.86</v>
      </c>
      <c r="CQ30">
        <f t="shared" si="16"/>
        <v>202.9083</v>
      </c>
      <c r="CR30">
        <f t="shared" si="17"/>
        <v>418.035625</v>
      </c>
      <c r="CS30">
        <f t="shared" si="18"/>
        <v>188.505</v>
      </c>
      <c r="CT30">
        <f t="shared" si="19"/>
        <v>10230.287759999997</v>
      </c>
      <c r="CU30">
        <f t="shared" si="20"/>
        <v>0</v>
      </c>
      <c r="CV30">
        <f t="shared" si="21"/>
        <v>45.482499999999995</v>
      </c>
      <c r="CW30">
        <f t="shared" si="22"/>
        <v>0</v>
      </c>
      <c r="CX30">
        <f t="shared" si="23"/>
        <v>0</v>
      </c>
      <c r="CY30">
        <f t="shared" si="24"/>
        <v>20962.584</v>
      </c>
      <c r="CZ30">
        <f t="shared" si="25"/>
        <v>12810.468</v>
      </c>
      <c r="DE30" t="s">
        <v>31</v>
      </c>
      <c r="DF30" t="s">
        <v>31</v>
      </c>
      <c r="DG30" t="s">
        <v>32</v>
      </c>
      <c r="DI30" t="s">
        <v>32</v>
      </c>
      <c r="DJ30" t="s">
        <v>31</v>
      </c>
      <c r="DN30">
        <v>85</v>
      </c>
      <c r="DO30">
        <v>70</v>
      </c>
      <c r="DP30">
        <v>1.087</v>
      </c>
      <c r="DQ30">
        <v>1</v>
      </c>
      <c r="DR30">
        <v>1</v>
      </c>
      <c r="DS30">
        <v>1</v>
      </c>
      <c r="DT30">
        <v>1</v>
      </c>
      <c r="DU30">
        <v>1009</v>
      </c>
      <c r="DV30" t="s">
        <v>29</v>
      </c>
      <c r="DW30" t="s">
        <v>29</v>
      </c>
      <c r="DX30">
        <v>1000</v>
      </c>
      <c r="EE30">
        <v>19684629</v>
      </c>
      <c r="EF30">
        <v>30</v>
      </c>
      <c r="EG30" t="s">
        <v>33</v>
      </c>
      <c r="EH30">
        <v>0</v>
      </c>
      <c r="EJ30">
        <v>1</v>
      </c>
      <c r="EK30">
        <v>80</v>
      </c>
      <c r="EL30" t="s">
        <v>34</v>
      </c>
      <c r="EM30" t="s">
        <v>35</v>
      </c>
      <c r="EQ30">
        <v>64</v>
      </c>
      <c r="ER30">
        <v>601.52</v>
      </c>
      <c r="ES30">
        <v>42.01</v>
      </c>
      <c r="ET30">
        <v>37.45</v>
      </c>
      <c r="EU30">
        <v>8.85</v>
      </c>
      <c r="EV30">
        <v>522.06</v>
      </c>
      <c r="EW30">
        <v>39.55</v>
      </c>
      <c r="EX30">
        <v>0</v>
      </c>
      <c r="EY30">
        <v>0</v>
      </c>
      <c r="EZ30">
        <v>0</v>
      </c>
      <c r="FQ30">
        <v>0</v>
      </c>
      <c r="FR30">
        <f t="shared" si="26"/>
        <v>0</v>
      </c>
      <c r="FS30">
        <v>0</v>
      </c>
      <c r="FX30">
        <v>72</v>
      </c>
      <c r="FY30">
        <v>44</v>
      </c>
    </row>
    <row r="31" spans="1:181" ht="12.75">
      <c r="A31">
        <v>17</v>
      </c>
      <c r="B31">
        <v>1</v>
      </c>
      <c r="C31">
        <f>ROW(SmtRes!A28)</f>
        <v>28</v>
      </c>
      <c r="D31">
        <f>ROW(EtalonRes!A25)</f>
        <v>25</v>
      </c>
      <c r="E31" t="s">
        <v>52</v>
      </c>
      <c r="F31" t="s">
        <v>53</v>
      </c>
      <c r="G31" t="s">
        <v>54</v>
      </c>
      <c r="H31" t="s">
        <v>14</v>
      </c>
      <c r="I31">
        <v>1.66</v>
      </c>
      <c r="J31">
        <v>0</v>
      </c>
      <c r="O31">
        <f t="shared" si="2"/>
        <v>2820.77</v>
      </c>
      <c r="P31">
        <f t="shared" si="3"/>
        <v>204.77</v>
      </c>
      <c r="Q31">
        <f t="shared" si="4"/>
        <v>204.6</v>
      </c>
      <c r="R31">
        <f t="shared" si="5"/>
        <v>66.12</v>
      </c>
      <c r="S31">
        <f t="shared" si="6"/>
        <v>2411.4</v>
      </c>
      <c r="T31">
        <f t="shared" si="7"/>
        <v>0</v>
      </c>
      <c r="U31">
        <f t="shared" si="8"/>
        <v>10.136789999999998</v>
      </c>
      <c r="V31">
        <f t="shared" si="9"/>
        <v>0</v>
      </c>
      <c r="W31">
        <f t="shared" si="10"/>
        <v>0</v>
      </c>
      <c r="X31">
        <f t="shared" si="11"/>
        <v>2049.69</v>
      </c>
      <c r="Y31">
        <f t="shared" si="12"/>
        <v>1061.02</v>
      </c>
      <c r="AA31">
        <v>0</v>
      </c>
      <c r="AB31">
        <f t="shared" si="13"/>
        <v>120.82199999999999</v>
      </c>
      <c r="AC31">
        <f>(ES31)</f>
        <v>9.46</v>
      </c>
      <c r="AD31">
        <f>((ET31*1.25))</f>
        <v>26.1125</v>
      </c>
      <c r="AE31">
        <f>((EU31*1.25))</f>
        <v>2.3375000000000004</v>
      </c>
      <c r="AF31">
        <f>((EV31*1.15))</f>
        <v>85.24949999999998</v>
      </c>
      <c r="AG31">
        <f>(AP31)</f>
        <v>0</v>
      </c>
      <c r="AH31">
        <f>((EW31*1.15))</f>
        <v>6.106499999999999</v>
      </c>
      <c r="AI31">
        <f>((EX31*1.25))</f>
        <v>0</v>
      </c>
      <c r="AJ31">
        <f>(AS31)</f>
        <v>0</v>
      </c>
      <c r="AK31">
        <v>104.47999999999999</v>
      </c>
      <c r="AL31">
        <v>9.46</v>
      </c>
      <c r="AM31">
        <v>20.89</v>
      </c>
      <c r="AN31">
        <v>1.87</v>
      </c>
      <c r="AO31">
        <v>74.13</v>
      </c>
      <c r="AP31">
        <v>0</v>
      </c>
      <c r="AQ31">
        <v>5.31</v>
      </c>
      <c r="AR31">
        <v>0</v>
      </c>
      <c r="AS31">
        <v>0</v>
      </c>
      <c r="AT31">
        <v>85</v>
      </c>
      <c r="AU31">
        <v>44</v>
      </c>
      <c r="AV31">
        <v>1</v>
      </c>
      <c r="AW31">
        <v>1</v>
      </c>
      <c r="AX31">
        <v>1</v>
      </c>
      <c r="AY31">
        <v>1</v>
      </c>
      <c r="AZ31">
        <v>17.04</v>
      </c>
      <c r="BA31">
        <v>17.04</v>
      </c>
      <c r="BB31">
        <v>4.72</v>
      </c>
      <c r="BC31">
        <v>13.04</v>
      </c>
      <c r="BH31">
        <v>0</v>
      </c>
      <c r="BI31">
        <v>1</v>
      </c>
      <c r="BJ31" t="s">
        <v>55</v>
      </c>
      <c r="BM31">
        <v>97</v>
      </c>
      <c r="BN31">
        <v>0</v>
      </c>
      <c r="BO31" t="s">
        <v>53</v>
      </c>
      <c r="BP31">
        <v>1</v>
      </c>
      <c r="BQ31">
        <v>30</v>
      </c>
      <c r="BR31">
        <v>0</v>
      </c>
      <c r="BS31">
        <v>17.04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85</v>
      </c>
      <c r="CA31">
        <v>44</v>
      </c>
      <c r="CF31">
        <v>0</v>
      </c>
      <c r="CG31">
        <v>0</v>
      </c>
      <c r="CM31">
        <v>0</v>
      </c>
      <c r="CO31">
        <v>0</v>
      </c>
      <c r="CP31">
        <f t="shared" si="15"/>
        <v>2820.77</v>
      </c>
      <c r="CQ31">
        <f t="shared" si="16"/>
        <v>123.3584</v>
      </c>
      <c r="CR31">
        <f t="shared" si="17"/>
        <v>123.25099999999999</v>
      </c>
      <c r="CS31">
        <f t="shared" si="18"/>
        <v>39.831</v>
      </c>
      <c r="CT31">
        <f t="shared" si="19"/>
        <v>1452.6514799999995</v>
      </c>
      <c r="CU31">
        <f t="shared" si="20"/>
        <v>0</v>
      </c>
      <c r="CV31">
        <f t="shared" si="21"/>
        <v>6.106499999999999</v>
      </c>
      <c r="CW31">
        <f t="shared" si="22"/>
        <v>0</v>
      </c>
      <c r="CX31">
        <f t="shared" si="23"/>
        <v>0</v>
      </c>
      <c r="CY31">
        <f t="shared" si="24"/>
        <v>2049.69</v>
      </c>
      <c r="CZ31">
        <f t="shared" si="25"/>
        <v>1061.016</v>
      </c>
      <c r="DE31" t="s">
        <v>31</v>
      </c>
      <c r="DF31" t="s">
        <v>31</v>
      </c>
      <c r="DG31" t="s">
        <v>32</v>
      </c>
      <c r="DI31" t="s">
        <v>32</v>
      </c>
      <c r="DJ31" t="s">
        <v>31</v>
      </c>
      <c r="DN31">
        <v>100</v>
      </c>
      <c r="DO31">
        <v>64</v>
      </c>
      <c r="DP31">
        <v>1.047</v>
      </c>
      <c r="DQ31">
        <v>1</v>
      </c>
      <c r="DR31">
        <v>1</v>
      </c>
      <c r="DS31">
        <v>1</v>
      </c>
      <c r="DT31">
        <v>1</v>
      </c>
      <c r="DU31">
        <v>1005</v>
      </c>
      <c r="DV31" t="s">
        <v>14</v>
      </c>
      <c r="DW31" t="s">
        <v>14</v>
      </c>
      <c r="DX31">
        <v>100</v>
      </c>
      <c r="EE31">
        <v>19684646</v>
      </c>
      <c r="EF31">
        <v>30</v>
      </c>
      <c r="EG31" t="s">
        <v>33</v>
      </c>
      <c r="EH31">
        <v>0</v>
      </c>
      <c r="EJ31">
        <v>1</v>
      </c>
      <c r="EK31">
        <v>97</v>
      </c>
      <c r="EL31" t="s">
        <v>56</v>
      </c>
      <c r="EM31" t="s">
        <v>57</v>
      </c>
      <c r="EQ31">
        <v>64</v>
      </c>
      <c r="ER31">
        <v>104.48</v>
      </c>
      <c r="ES31">
        <v>9.46</v>
      </c>
      <c r="ET31">
        <v>20.89</v>
      </c>
      <c r="EU31">
        <v>1.87</v>
      </c>
      <c r="EV31">
        <v>74.13</v>
      </c>
      <c r="EW31">
        <v>5.31</v>
      </c>
      <c r="EX31">
        <v>0</v>
      </c>
      <c r="EY31">
        <v>0</v>
      </c>
      <c r="EZ31">
        <v>0</v>
      </c>
      <c r="FQ31">
        <v>0</v>
      </c>
      <c r="FR31">
        <f t="shared" si="26"/>
        <v>0</v>
      </c>
      <c r="FS31">
        <v>0</v>
      </c>
      <c r="FX31">
        <v>85</v>
      </c>
      <c r="FY31">
        <v>44</v>
      </c>
    </row>
    <row r="32" spans="1:181" ht="12.75">
      <c r="A32">
        <v>18</v>
      </c>
      <c r="B32">
        <v>1</v>
      </c>
      <c r="C32">
        <v>27</v>
      </c>
      <c r="E32" t="s">
        <v>58</v>
      </c>
      <c r="F32" t="s">
        <v>59</v>
      </c>
      <c r="G32" t="s">
        <v>60</v>
      </c>
      <c r="H32" t="s">
        <v>29</v>
      </c>
      <c r="I32">
        <f>I31*J32</f>
        <v>0.014940000000000002</v>
      </c>
      <c r="J32">
        <v>0.009000000000000001</v>
      </c>
      <c r="O32">
        <f t="shared" si="2"/>
        <v>655.16</v>
      </c>
      <c r="P32">
        <f t="shared" si="3"/>
        <v>655.16</v>
      </c>
      <c r="Q32">
        <f t="shared" si="4"/>
        <v>0</v>
      </c>
      <c r="R32">
        <f t="shared" si="5"/>
        <v>0</v>
      </c>
      <c r="S32">
        <f t="shared" si="6"/>
        <v>0</v>
      </c>
      <c r="T32">
        <f t="shared" si="7"/>
        <v>0</v>
      </c>
      <c r="U32">
        <f t="shared" si="8"/>
        <v>0</v>
      </c>
      <c r="V32">
        <f t="shared" si="9"/>
        <v>0</v>
      </c>
      <c r="W32">
        <f t="shared" si="10"/>
        <v>0</v>
      </c>
      <c r="X32">
        <f t="shared" si="11"/>
        <v>0</v>
      </c>
      <c r="Y32">
        <f t="shared" si="12"/>
        <v>0</v>
      </c>
      <c r="AA32">
        <v>0</v>
      </c>
      <c r="AB32">
        <f t="shared" si="13"/>
        <v>18660.61</v>
      </c>
      <c r="AC32">
        <f aca="true" t="shared" si="28" ref="AC32:AJ32">AL32</f>
        <v>18660.61</v>
      </c>
      <c r="AD32">
        <f t="shared" si="28"/>
        <v>0</v>
      </c>
      <c r="AE32">
        <f t="shared" si="28"/>
        <v>0</v>
      </c>
      <c r="AF32">
        <f t="shared" si="28"/>
        <v>0</v>
      </c>
      <c r="AG32">
        <f t="shared" si="28"/>
        <v>0</v>
      </c>
      <c r="AH32">
        <f t="shared" si="28"/>
        <v>0</v>
      </c>
      <c r="AI32">
        <f t="shared" si="28"/>
        <v>0</v>
      </c>
      <c r="AJ32">
        <f t="shared" si="28"/>
        <v>0</v>
      </c>
      <c r="AK32">
        <v>18660.61</v>
      </c>
      <c r="AL32">
        <v>18660.61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2.35</v>
      </c>
      <c r="BH32">
        <v>3</v>
      </c>
      <c r="BI32">
        <v>1</v>
      </c>
      <c r="BJ32" t="s">
        <v>61</v>
      </c>
      <c r="BM32">
        <v>97</v>
      </c>
      <c r="BN32">
        <v>0</v>
      </c>
      <c r="BO32" t="s">
        <v>59</v>
      </c>
      <c r="BP32">
        <v>1</v>
      </c>
      <c r="BQ32">
        <v>30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0</v>
      </c>
      <c r="CA32">
        <v>0</v>
      </c>
      <c r="CF32">
        <v>0</v>
      </c>
      <c r="CG32">
        <v>0</v>
      </c>
      <c r="CM32">
        <v>0</v>
      </c>
      <c r="CO32">
        <v>0</v>
      </c>
      <c r="CP32">
        <f t="shared" si="15"/>
        <v>655.16</v>
      </c>
      <c r="CQ32">
        <f t="shared" si="16"/>
        <v>43852.43350000001</v>
      </c>
      <c r="CR32">
        <f t="shared" si="17"/>
        <v>0</v>
      </c>
      <c r="CS32">
        <f t="shared" si="18"/>
        <v>0</v>
      </c>
      <c r="CT32">
        <f t="shared" si="19"/>
        <v>0</v>
      </c>
      <c r="CU32">
        <f t="shared" si="20"/>
        <v>0</v>
      </c>
      <c r="CV32">
        <f t="shared" si="21"/>
        <v>0</v>
      </c>
      <c r="CW32">
        <f t="shared" si="22"/>
        <v>0</v>
      </c>
      <c r="CX32">
        <f t="shared" si="23"/>
        <v>0</v>
      </c>
      <c r="CY32">
        <f t="shared" si="24"/>
        <v>0</v>
      </c>
      <c r="CZ32">
        <f t="shared" si="25"/>
        <v>0</v>
      </c>
      <c r="DN32">
        <v>100</v>
      </c>
      <c r="DO32">
        <v>64</v>
      </c>
      <c r="DP32">
        <v>1.047</v>
      </c>
      <c r="DQ32">
        <v>1</v>
      </c>
      <c r="DR32">
        <v>1</v>
      </c>
      <c r="DS32">
        <v>1</v>
      </c>
      <c r="DT32">
        <v>1</v>
      </c>
      <c r="DU32">
        <v>1009</v>
      </c>
      <c r="DV32" t="s">
        <v>29</v>
      </c>
      <c r="DW32" t="s">
        <v>29</v>
      </c>
      <c r="DX32">
        <v>1000</v>
      </c>
      <c r="EE32">
        <v>19684646</v>
      </c>
      <c r="EF32">
        <v>30</v>
      </c>
      <c r="EG32" t="s">
        <v>33</v>
      </c>
      <c r="EH32">
        <v>0</v>
      </c>
      <c r="EJ32">
        <v>1</v>
      </c>
      <c r="EK32">
        <v>97</v>
      </c>
      <c r="EL32" t="s">
        <v>56</v>
      </c>
      <c r="EM32" t="s">
        <v>57</v>
      </c>
      <c r="EQ32">
        <v>0</v>
      </c>
      <c r="ER32">
        <v>18660.61</v>
      </c>
      <c r="ES32">
        <v>18660.61</v>
      </c>
      <c r="ET32">
        <v>0</v>
      </c>
      <c r="EU32">
        <v>0</v>
      </c>
      <c r="EV32">
        <v>0</v>
      </c>
      <c r="EW32">
        <v>0</v>
      </c>
      <c r="EX32">
        <v>0</v>
      </c>
      <c r="EZ32">
        <v>0</v>
      </c>
      <c r="FQ32">
        <v>0</v>
      </c>
      <c r="FR32">
        <f t="shared" si="26"/>
        <v>0</v>
      </c>
      <c r="FS32">
        <v>0</v>
      </c>
      <c r="FX32">
        <v>0</v>
      </c>
      <c r="FY32">
        <v>0</v>
      </c>
    </row>
    <row r="33" spans="1:181" ht="12.75">
      <c r="A33">
        <v>17</v>
      </c>
      <c r="B33">
        <v>1</v>
      </c>
      <c r="C33">
        <f>ROW(SmtRes!A34)</f>
        <v>34</v>
      </c>
      <c r="D33">
        <f>ROW(EtalonRes!A31)</f>
        <v>31</v>
      </c>
      <c r="E33" t="s">
        <v>62</v>
      </c>
      <c r="F33" t="s">
        <v>63</v>
      </c>
      <c r="G33" t="s">
        <v>64</v>
      </c>
      <c r="H33" t="s">
        <v>14</v>
      </c>
      <c r="I33">
        <v>1.66</v>
      </c>
      <c r="J33">
        <v>0</v>
      </c>
      <c r="O33">
        <f t="shared" si="2"/>
        <v>3462.72</v>
      </c>
      <c r="P33">
        <f t="shared" si="3"/>
        <v>2298.18</v>
      </c>
      <c r="Q33">
        <f t="shared" si="4"/>
        <v>204.6</v>
      </c>
      <c r="R33">
        <f t="shared" si="5"/>
        <v>66.12</v>
      </c>
      <c r="S33">
        <f t="shared" si="6"/>
        <v>959.94</v>
      </c>
      <c r="T33">
        <f t="shared" si="7"/>
        <v>0</v>
      </c>
      <c r="U33">
        <f t="shared" si="8"/>
        <v>4.734319999999999</v>
      </c>
      <c r="V33">
        <f t="shared" si="9"/>
        <v>0</v>
      </c>
      <c r="W33">
        <f t="shared" si="10"/>
        <v>0</v>
      </c>
      <c r="X33">
        <f t="shared" si="11"/>
        <v>815.95</v>
      </c>
      <c r="Y33">
        <f t="shared" si="12"/>
        <v>422.37</v>
      </c>
      <c r="AA33">
        <v>0</v>
      </c>
      <c r="AB33">
        <f t="shared" si="13"/>
        <v>492.689</v>
      </c>
      <c r="AC33">
        <f>(ES33)</f>
        <v>432.64</v>
      </c>
      <c r="AD33">
        <f>((ET33*1.25))</f>
        <v>26.1125</v>
      </c>
      <c r="AE33">
        <f>((EU33*1.25))</f>
        <v>2.3375000000000004</v>
      </c>
      <c r="AF33">
        <f>((EV33*1.15))</f>
        <v>33.9365</v>
      </c>
      <c r="AG33">
        <f>(AP33)</f>
        <v>0</v>
      </c>
      <c r="AH33">
        <f>((EW33*1.15))</f>
        <v>2.852</v>
      </c>
      <c r="AI33">
        <f>((EX33*1.25))</f>
        <v>0</v>
      </c>
      <c r="AJ33">
        <f>(AS33)</f>
        <v>0</v>
      </c>
      <c r="AK33">
        <v>483.03999999999996</v>
      </c>
      <c r="AL33">
        <v>432.64</v>
      </c>
      <c r="AM33">
        <v>20.89</v>
      </c>
      <c r="AN33">
        <v>1.87</v>
      </c>
      <c r="AO33">
        <v>29.51</v>
      </c>
      <c r="AP33">
        <v>0</v>
      </c>
      <c r="AQ33">
        <v>2.48</v>
      </c>
      <c r="AR33">
        <v>0</v>
      </c>
      <c r="AS33">
        <v>0</v>
      </c>
      <c r="AT33">
        <v>85</v>
      </c>
      <c r="AU33">
        <v>44</v>
      </c>
      <c r="AV33">
        <v>1</v>
      </c>
      <c r="AW33">
        <v>1</v>
      </c>
      <c r="AX33">
        <v>1</v>
      </c>
      <c r="AY33">
        <v>1</v>
      </c>
      <c r="AZ33">
        <v>17.04</v>
      </c>
      <c r="BA33">
        <v>17.04</v>
      </c>
      <c r="BB33">
        <v>4.72</v>
      </c>
      <c r="BC33">
        <v>3.2</v>
      </c>
      <c r="BH33">
        <v>0</v>
      </c>
      <c r="BI33">
        <v>1</v>
      </c>
      <c r="BJ33" t="s">
        <v>65</v>
      </c>
      <c r="BM33">
        <v>97</v>
      </c>
      <c r="BN33">
        <v>0</v>
      </c>
      <c r="BO33" t="s">
        <v>63</v>
      </c>
      <c r="BP33">
        <v>1</v>
      </c>
      <c r="BQ33">
        <v>30</v>
      </c>
      <c r="BR33">
        <v>0</v>
      </c>
      <c r="BS33">
        <v>17.04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85</v>
      </c>
      <c r="CA33">
        <v>44</v>
      </c>
      <c r="CF33">
        <v>0</v>
      </c>
      <c r="CG33">
        <v>0</v>
      </c>
      <c r="CM33">
        <v>0</v>
      </c>
      <c r="CO33">
        <v>0</v>
      </c>
      <c r="CP33">
        <f t="shared" si="15"/>
        <v>3462.72</v>
      </c>
      <c r="CQ33">
        <f t="shared" si="16"/>
        <v>1384.448</v>
      </c>
      <c r="CR33">
        <f t="shared" si="17"/>
        <v>123.25099999999999</v>
      </c>
      <c r="CS33">
        <f t="shared" si="18"/>
        <v>39.831</v>
      </c>
      <c r="CT33">
        <f t="shared" si="19"/>
        <v>578.27796</v>
      </c>
      <c r="CU33">
        <f t="shared" si="20"/>
        <v>0</v>
      </c>
      <c r="CV33">
        <f t="shared" si="21"/>
        <v>2.852</v>
      </c>
      <c r="CW33">
        <f t="shared" si="22"/>
        <v>0</v>
      </c>
      <c r="CX33">
        <f t="shared" si="23"/>
        <v>0</v>
      </c>
      <c r="CY33">
        <f t="shared" si="24"/>
        <v>815.9490000000001</v>
      </c>
      <c r="CZ33">
        <f t="shared" si="25"/>
        <v>422.3736</v>
      </c>
      <c r="DE33" t="s">
        <v>31</v>
      </c>
      <c r="DF33" t="s">
        <v>31</v>
      </c>
      <c r="DG33" t="s">
        <v>32</v>
      </c>
      <c r="DI33" t="s">
        <v>32</v>
      </c>
      <c r="DJ33" t="s">
        <v>31</v>
      </c>
      <c r="DN33">
        <v>100</v>
      </c>
      <c r="DO33">
        <v>64</v>
      </c>
      <c r="DP33">
        <v>1.047</v>
      </c>
      <c r="DQ33">
        <v>1</v>
      </c>
      <c r="DR33">
        <v>1</v>
      </c>
      <c r="DS33">
        <v>1</v>
      </c>
      <c r="DT33">
        <v>1</v>
      </c>
      <c r="DU33">
        <v>1005</v>
      </c>
      <c r="DV33" t="s">
        <v>14</v>
      </c>
      <c r="DW33" t="s">
        <v>14</v>
      </c>
      <c r="DX33">
        <v>100</v>
      </c>
      <c r="EE33">
        <v>19684646</v>
      </c>
      <c r="EF33">
        <v>30</v>
      </c>
      <c r="EG33" t="s">
        <v>33</v>
      </c>
      <c r="EH33">
        <v>0</v>
      </c>
      <c r="EJ33">
        <v>1</v>
      </c>
      <c r="EK33">
        <v>97</v>
      </c>
      <c r="EL33" t="s">
        <v>56</v>
      </c>
      <c r="EM33" t="s">
        <v>57</v>
      </c>
      <c r="EQ33">
        <v>64</v>
      </c>
      <c r="ER33">
        <v>483.04</v>
      </c>
      <c r="ES33">
        <v>432.64</v>
      </c>
      <c r="ET33">
        <v>20.89</v>
      </c>
      <c r="EU33">
        <v>1.87</v>
      </c>
      <c r="EV33">
        <v>29.51</v>
      </c>
      <c r="EW33">
        <v>2.48</v>
      </c>
      <c r="EX33">
        <v>0</v>
      </c>
      <c r="EY33">
        <v>0</v>
      </c>
      <c r="EZ33">
        <v>0</v>
      </c>
      <c r="FQ33">
        <v>0</v>
      </c>
      <c r="FR33">
        <f t="shared" si="26"/>
        <v>0</v>
      </c>
      <c r="FS33">
        <v>0</v>
      </c>
      <c r="FX33">
        <v>85</v>
      </c>
      <c r="FY33">
        <v>44</v>
      </c>
    </row>
    <row r="34" spans="1:181" ht="12.75">
      <c r="A34">
        <v>18</v>
      </c>
      <c r="B34">
        <v>1</v>
      </c>
      <c r="C34">
        <v>32</v>
      </c>
      <c r="E34" t="s">
        <v>66</v>
      </c>
      <c r="F34" t="s">
        <v>67</v>
      </c>
      <c r="G34" t="s">
        <v>68</v>
      </c>
      <c r="H34" t="s">
        <v>69</v>
      </c>
      <c r="I34">
        <f>I33*J34</f>
        <v>21.58</v>
      </c>
      <c r="J34">
        <v>13</v>
      </c>
      <c r="O34">
        <f t="shared" si="2"/>
        <v>1520.7</v>
      </c>
      <c r="P34">
        <f t="shared" si="3"/>
        <v>1520.7</v>
      </c>
      <c r="Q34">
        <f t="shared" si="4"/>
        <v>0</v>
      </c>
      <c r="R34">
        <f t="shared" si="5"/>
        <v>0</v>
      </c>
      <c r="S34">
        <f t="shared" si="6"/>
        <v>0</v>
      </c>
      <c r="T34">
        <f t="shared" si="7"/>
        <v>0</v>
      </c>
      <c r="U34">
        <f t="shared" si="8"/>
        <v>0</v>
      </c>
      <c r="V34">
        <f t="shared" si="9"/>
        <v>0</v>
      </c>
      <c r="W34">
        <f t="shared" si="10"/>
        <v>0</v>
      </c>
      <c r="X34">
        <f t="shared" si="11"/>
        <v>0</v>
      </c>
      <c r="Y34">
        <f t="shared" si="12"/>
        <v>0</v>
      </c>
      <c r="AA34">
        <v>0</v>
      </c>
      <c r="AB34">
        <f t="shared" si="13"/>
        <v>35.59</v>
      </c>
      <c r="AC34">
        <f aca="true" t="shared" si="29" ref="AC34:AJ34">AL34</f>
        <v>35.59</v>
      </c>
      <c r="AD34">
        <f t="shared" si="29"/>
        <v>0</v>
      </c>
      <c r="AE34">
        <f t="shared" si="29"/>
        <v>0</v>
      </c>
      <c r="AF34">
        <f t="shared" si="29"/>
        <v>0</v>
      </c>
      <c r="AG34">
        <f t="shared" si="29"/>
        <v>0</v>
      </c>
      <c r="AH34">
        <f t="shared" si="29"/>
        <v>0</v>
      </c>
      <c r="AI34">
        <f t="shared" si="29"/>
        <v>0</v>
      </c>
      <c r="AJ34">
        <f t="shared" si="29"/>
        <v>0</v>
      </c>
      <c r="AK34">
        <v>35.59</v>
      </c>
      <c r="AL34">
        <v>35.59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1.98</v>
      </c>
      <c r="BH34">
        <v>3</v>
      </c>
      <c r="BI34">
        <v>1</v>
      </c>
      <c r="BJ34" t="s">
        <v>70</v>
      </c>
      <c r="BM34">
        <v>97</v>
      </c>
      <c r="BN34">
        <v>0</v>
      </c>
      <c r="BO34" t="s">
        <v>67</v>
      </c>
      <c r="BP34">
        <v>1</v>
      </c>
      <c r="BQ34">
        <v>30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0</v>
      </c>
      <c r="CA34">
        <v>0</v>
      </c>
      <c r="CF34">
        <v>0</v>
      </c>
      <c r="CG34">
        <v>0</v>
      </c>
      <c r="CM34">
        <v>0</v>
      </c>
      <c r="CO34">
        <v>0</v>
      </c>
      <c r="CP34">
        <f t="shared" si="15"/>
        <v>1520.7</v>
      </c>
      <c r="CQ34">
        <f t="shared" si="16"/>
        <v>70.46820000000001</v>
      </c>
      <c r="CR34">
        <f t="shared" si="17"/>
        <v>0</v>
      </c>
      <c r="CS34">
        <f t="shared" si="18"/>
        <v>0</v>
      </c>
      <c r="CT34">
        <f t="shared" si="19"/>
        <v>0</v>
      </c>
      <c r="CU34">
        <f t="shared" si="20"/>
        <v>0</v>
      </c>
      <c r="CV34">
        <f t="shared" si="21"/>
        <v>0</v>
      </c>
      <c r="CW34">
        <f t="shared" si="22"/>
        <v>0</v>
      </c>
      <c r="CX34">
        <f t="shared" si="23"/>
        <v>0</v>
      </c>
      <c r="CY34">
        <f t="shared" si="24"/>
        <v>0</v>
      </c>
      <c r="CZ34">
        <f t="shared" si="25"/>
        <v>0</v>
      </c>
      <c r="DN34">
        <v>100</v>
      </c>
      <c r="DO34">
        <v>64</v>
      </c>
      <c r="DP34">
        <v>1.047</v>
      </c>
      <c r="DQ34">
        <v>1</v>
      </c>
      <c r="DR34">
        <v>1</v>
      </c>
      <c r="DS34">
        <v>1</v>
      </c>
      <c r="DT34">
        <v>1</v>
      </c>
      <c r="DU34">
        <v>1009</v>
      </c>
      <c r="DV34" t="s">
        <v>69</v>
      </c>
      <c r="DW34" t="s">
        <v>69</v>
      </c>
      <c r="DX34">
        <v>1</v>
      </c>
      <c r="EE34">
        <v>19684646</v>
      </c>
      <c r="EF34">
        <v>30</v>
      </c>
      <c r="EG34" t="s">
        <v>33</v>
      </c>
      <c r="EH34">
        <v>0</v>
      </c>
      <c r="EJ34">
        <v>1</v>
      </c>
      <c r="EK34">
        <v>97</v>
      </c>
      <c r="EL34" t="s">
        <v>56</v>
      </c>
      <c r="EM34" t="s">
        <v>57</v>
      </c>
      <c r="EQ34">
        <v>0</v>
      </c>
      <c r="ER34">
        <v>35.59</v>
      </c>
      <c r="ES34">
        <v>35.59</v>
      </c>
      <c r="ET34">
        <v>0</v>
      </c>
      <c r="EU34">
        <v>0</v>
      </c>
      <c r="EV34">
        <v>0</v>
      </c>
      <c r="EW34">
        <v>0</v>
      </c>
      <c r="EX34">
        <v>0</v>
      </c>
      <c r="EZ34">
        <v>0</v>
      </c>
      <c r="FQ34">
        <v>0</v>
      </c>
      <c r="FR34">
        <f t="shared" si="26"/>
        <v>0</v>
      </c>
      <c r="FS34">
        <v>0</v>
      </c>
      <c r="FX34">
        <v>0</v>
      </c>
      <c r="FY34">
        <v>0</v>
      </c>
    </row>
    <row r="35" spans="1:181" ht="12.75">
      <c r="A35">
        <v>17</v>
      </c>
      <c r="B35">
        <v>1</v>
      </c>
      <c r="C35">
        <f>ROW(SmtRes!A46)</f>
        <v>46</v>
      </c>
      <c r="D35">
        <f>ROW(EtalonRes!A43)</f>
        <v>43</v>
      </c>
      <c r="E35" t="s">
        <v>71</v>
      </c>
      <c r="F35" t="s">
        <v>72</v>
      </c>
      <c r="G35" t="s">
        <v>73</v>
      </c>
      <c r="H35" t="s">
        <v>14</v>
      </c>
      <c r="I35">
        <v>0.15</v>
      </c>
      <c r="J35">
        <v>0</v>
      </c>
      <c r="O35">
        <f t="shared" si="2"/>
        <v>7581.47</v>
      </c>
      <c r="P35">
        <f t="shared" si="3"/>
        <v>828.46</v>
      </c>
      <c r="Q35">
        <f t="shared" si="4"/>
        <v>107.03</v>
      </c>
      <c r="R35">
        <f t="shared" si="5"/>
        <v>9.52</v>
      </c>
      <c r="S35">
        <f t="shared" si="6"/>
        <v>6645.98</v>
      </c>
      <c r="T35">
        <f t="shared" si="7"/>
        <v>0</v>
      </c>
      <c r="U35">
        <f t="shared" si="8"/>
        <v>32.77499999999999</v>
      </c>
      <c r="V35">
        <f t="shared" si="9"/>
        <v>0</v>
      </c>
      <c r="W35">
        <f t="shared" si="10"/>
        <v>0</v>
      </c>
      <c r="X35">
        <f t="shared" si="11"/>
        <v>5117.4</v>
      </c>
      <c r="Y35">
        <f t="shared" si="12"/>
        <v>2924.23</v>
      </c>
      <c r="AA35">
        <v>0</v>
      </c>
      <c r="AB35">
        <f t="shared" si="13"/>
        <v>5451.32</v>
      </c>
      <c r="AC35">
        <f>(ES35)</f>
        <v>2775.42</v>
      </c>
      <c r="AD35">
        <f>((ET35*1.25))</f>
        <v>75.75</v>
      </c>
      <c r="AE35">
        <f>((EU35*1.25))</f>
        <v>3.725</v>
      </c>
      <c r="AF35">
        <f>((EV35*1.15))</f>
        <v>2600.1499999999996</v>
      </c>
      <c r="AG35">
        <f>(AP35)</f>
        <v>0</v>
      </c>
      <c r="AH35">
        <f>((EW35*1.15))</f>
        <v>218.49999999999997</v>
      </c>
      <c r="AI35">
        <f>((EX35*1.25))</f>
        <v>0</v>
      </c>
      <c r="AJ35">
        <f>(AS35)</f>
        <v>0</v>
      </c>
      <c r="AK35">
        <v>5097.02</v>
      </c>
      <c r="AL35">
        <v>2775.42</v>
      </c>
      <c r="AM35">
        <v>60.6</v>
      </c>
      <c r="AN35">
        <v>2.98</v>
      </c>
      <c r="AO35">
        <v>2261</v>
      </c>
      <c r="AP35">
        <v>0</v>
      </c>
      <c r="AQ35">
        <v>190</v>
      </c>
      <c r="AR35">
        <v>0</v>
      </c>
      <c r="AS35">
        <v>0</v>
      </c>
      <c r="AT35">
        <v>77</v>
      </c>
      <c r="AU35">
        <v>44</v>
      </c>
      <c r="AV35">
        <v>1</v>
      </c>
      <c r="AW35">
        <v>1</v>
      </c>
      <c r="AX35">
        <v>1</v>
      </c>
      <c r="AY35">
        <v>1</v>
      </c>
      <c r="AZ35">
        <v>17.04</v>
      </c>
      <c r="BA35">
        <v>17.04</v>
      </c>
      <c r="BB35">
        <v>9.42</v>
      </c>
      <c r="BC35">
        <v>1.99</v>
      </c>
      <c r="BH35">
        <v>0</v>
      </c>
      <c r="BI35">
        <v>1</v>
      </c>
      <c r="BJ35" t="s">
        <v>74</v>
      </c>
      <c r="BM35">
        <v>82</v>
      </c>
      <c r="BN35">
        <v>0</v>
      </c>
      <c r="BO35" t="s">
        <v>72</v>
      </c>
      <c r="BP35">
        <v>1</v>
      </c>
      <c r="BQ35">
        <v>30</v>
      </c>
      <c r="BR35">
        <v>0</v>
      </c>
      <c r="BS35">
        <v>17.04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77</v>
      </c>
      <c r="CA35">
        <v>44</v>
      </c>
      <c r="CF35">
        <v>0</v>
      </c>
      <c r="CG35">
        <v>0</v>
      </c>
      <c r="CM35">
        <v>0</v>
      </c>
      <c r="CO35">
        <v>0</v>
      </c>
      <c r="CP35">
        <f t="shared" si="15"/>
        <v>7581.469999999999</v>
      </c>
      <c r="CQ35">
        <f t="shared" si="16"/>
        <v>5523.0858</v>
      </c>
      <c r="CR35">
        <f t="shared" si="17"/>
        <v>713.5649999999999</v>
      </c>
      <c r="CS35">
        <f t="shared" si="18"/>
        <v>63.474</v>
      </c>
      <c r="CT35">
        <f t="shared" si="19"/>
        <v>44306.55599999999</v>
      </c>
      <c r="CU35">
        <f t="shared" si="20"/>
        <v>0</v>
      </c>
      <c r="CV35">
        <f t="shared" si="21"/>
        <v>218.49999999999997</v>
      </c>
      <c r="CW35">
        <f t="shared" si="22"/>
        <v>0</v>
      </c>
      <c r="CX35">
        <f t="shared" si="23"/>
        <v>0</v>
      </c>
      <c r="CY35">
        <f t="shared" si="24"/>
        <v>5117.4046</v>
      </c>
      <c r="CZ35">
        <f t="shared" si="25"/>
        <v>2924.2311999999997</v>
      </c>
      <c r="DE35" t="s">
        <v>75</v>
      </c>
      <c r="DF35" t="s">
        <v>75</v>
      </c>
      <c r="DG35" t="s">
        <v>76</v>
      </c>
      <c r="DI35" t="s">
        <v>76</v>
      </c>
      <c r="DJ35" t="s">
        <v>75</v>
      </c>
      <c r="DN35">
        <v>91</v>
      </c>
      <c r="DO35">
        <v>70</v>
      </c>
      <c r="DP35">
        <v>1.047</v>
      </c>
      <c r="DQ35">
        <v>1</v>
      </c>
      <c r="DR35">
        <v>1</v>
      </c>
      <c r="DS35">
        <v>1</v>
      </c>
      <c r="DT35">
        <v>1</v>
      </c>
      <c r="DU35">
        <v>1005</v>
      </c>
      <c r="DV35" t="s">
        <v>14</v>
      </c>
      <c r="DW35" t="s">
        <v>14</v>
      </c>
      <c r="DX35">
        <v>100</v>
      </c>
      <c r="EE35">
        <v>19684631</v>
      </c>
      <c r="EF35">
        <v>30</v>
      </c>
      <c r="EG35" t="s">
        <v>33</v>
      </c>
      <c r="EH35">
        <v>0</v>
      </c>
      <c r="EJ35">
        <v>1</v>
      </c>
      <c r="EK35">
        <v>82</v>
      </c>
      <c r="EL35" t="s">
        <v>77</v>
      </c>
      <c r="EM35" t="s">
        <v>78</v>
      </c>
      <c r="EQ35">
        <v>64</v>
      </c>
      <c r="ER35">
        <v>5097.02</v>
      </c>
      <c r="ES35">
        <v>2775.42</v>
      </c>
      <c r="ET35">
        <v>60.6</v>
      </c>
      <c r="EU35">
        <v>2.98</v>
      </c>
      <c r="EV35">
        <v>2261</v>
      </c>
      <c r="EW35">
        <v>190</v>
      </c>
      <c r="EX35">
        <v>0</v>
      </c>
      <c r="EY35">
        <v>0</v>
      </c>
      <c r="EZ35">
        <v>0</v>
      </c>
      <c r="FQ35">
        <v>0</v>
      </c>
      <c r="FR35">
        <f t="shared" si="26"/>
        <v>0</v>
      </c>
      <c r="FS35">
        <v>0</v>
      </c>
      <c r="FX35">
        <v>77</v>
      </c>
      <c r="FY35">
        <v>44</v>
      </c>
    </row>
    <row r="36" spans="1:181" ht="12.75">
      <c r="A36">
        <v>18</v>
      </c>
      <c r="B36">
        <v>1</v>
      </c>
      <c r="C36">
        <v>44</v>
      </c>
      <c r="E36" t="s">
        <v>79</v>
      </c>
      <c r="F36" t="s">
        <v>80</v>
      </c>
      <c r="G36" t="s">
        <v>81</v>
      </c>
      <c r="H36" t="s">
        <v>29</v>
      </c>
      <c r="I36">
        <f>I35*J36</f>
        <v>0.0087</v>
      </c>
      <c r="J36">
        <v>0.057999999999999996</v>
      </c>
      <c r="O36">
        <f t="shared" si="2"/>
        <v>1276.54</v>
      </c>
      <c r="P36">
        <f t="shared" si="3"/>
        <v>1276.54</v>
      </c>
      <c r="Q36">
        <f t="shared" si="4"/>
        <v>0</v>
      </c>
      <c r="R36">
        <f t="shared" si="5"/>
        <v>0</v>
      </c>
      <c r="S36">
        <f t="shared" si="6"/>
        <v>0</v>
      </c>
      <c r="T36">
        <f t="shared" si="7"/>
        <v>0</v>
      </c>
      <c r="U36">
        <f t="shared" si="8"/>
        <v>0</v>
      </c>
      <c r="V36">
        <f t="shared" si="9"/>
        <v>0</v>
      </c>
      <c r="W36">
        <f t="shared" si="10"/>
        <v>0</v>
      </c>
      <c r="X36">
        <f t="shared" si="11"/>
        <v>0</v>
      </c>
      <c r="Y36">
        <f t="shared" si="12"/>
        <v>0</v>
      </c>
      <c r="AA36">
        <v>0</v>
      </c>
      <c r="AB36">
        <f t="shared" si="13"/>
        <v>60883.49</v>
      </c>
      <c r="AC36">
        <f aca="true" t="shared" si="30" ref="AC36:AJ39">AL36</f>
        <v>60883.49</v>
      </c>
      <c r="AD36">
        <f t="shared" si="30"/>
        <v>0</v>
      </c>
      <c r="AE36">
        <f t="shared" si="30"/>
        <v>0</v>
      </c>
      <c r="AF36">
        <f t="shared" si="30"/>
        <v>0</v>
      </c>
      <c r="AG36">
        <f t="shared" si="30"/>
        <v>0</v>
      </c>
      <c r="AH36">
        <f t="shared" si="30"/>
        <v>0</v>
      </c>
      <c r="AI36">
        <f t="shared" si="30"/>
        <v>0</v>
      </c>
      <c r="AJ36">
        <f t="shared" si="30"/>
        <v>0</v>
      </c>
      <c r="AK36">
        <v>60883.49</v>
      </c>
      <c r="AL36">
        <v>60883.49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2.41</v>
      </c>
      <c r="BH36">
        <v>3</v>
      </c>
      <c r="BI36">
        <v>1</v>
      </c>
      <c r="BJ36" t="s">
        <v>82</v>
      </c>
      <c r="BM36">
        <v>82</v>
      </c>
      <c r="BN36">
        <v>0</v>
      </c>
      <c r="BO36" t="s">
        <v>80</v>
      </c>
      <c r="BP36">
        <v>1</v>
      </c>
      <c r="BQ36">
        <v>30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0</v>
      </c>
      <c r="CA36">
        <v>0</v>
      </c>
      <c r="CF36">
        <v>0</v>
      </c>
      <c r="CG36">
        <v>0</v>
      </c>
      <c r="CM36">
        <v>0</v>
      </c>
      <c r="CO36">
        <v>0</v>
      </c>
      <c r="CP36">
        <f t="shared" si="15"/>
        <v>1276.54</v>
      </c>
      <c r="CQ36">
        <f t="shared" si="16"/>
        <v>146729.2109</v>
      </c>
      <c r="CR36">
        <f t="shared" si="17"/>
        <v>0</v>
      </c>
      <c r="CS36">
        <f t="shared" si="18"/>
        <v>0</v>
      </c>
      <c r="CT36">
        <f t="shared" si="19"/>
        <v>0</v>
      </c>
      <c r="CU36">
        <f t="shared" si="20"/>
        <v>0</v>
      </c>
      <c r="CV36">
        <f t="shared" si="21"/>
        <v>0</v>
      </c>
      <c r="CW36">
        <f t="shared" si="22"/>
        <v>0</v>
      </c>
      <c r="CX36">
        <f t="shared" si="23"/>
        <v>0</v>
      </c>
      <c r="CY36">
        <f t="shared" si="24"/>
        <v>0</v>
      </c>
      <c r="CZ36">
        <f t="shared" si="25"/>
        <v>0</v>
      </c>
      <c r="DN36">
        <v>91</v>
      </c>
      <c r="DO36">
        <v>70</v>
      </c>
      <c r="DP36">
        <v>1.047</v>
      </c>
      <c r="DQ36">
        <v>1</v>
      </c>
      <c r="DR36">
        <v>1</v>
      </c>
      <c r="DS36">
        <v>1</v>
      </c>
      <c r="DT36">
        <v>1</v>
      </c>
      <c r="DU36">
        <v>1009</v>
      </c>
      <c r="DV36" t="s">
        <v>29</v>
      </c>
      <c r="DW36" t="s">
        <v>29</v>
      </c>
      <c r="DX36">
        <v>1000</v>
      </c>
      <c r="EE36">
        <v>19684631</v>
      </c>
      <c r="EF36">
        <v>30</v>
      </c>
      <c r="EG36" t="s">
        <v>33</v>
      </c>
      <c r="EH36">
        <v>0</v>
      </c>
      <c r="EJ36">
        <v>1</v>
      </c>
      <c r="EK36">
        <v>82</v>
      </c>
      <c r="EL36" t="s">
        <v>77</v>
      </c>
      <c r="EM36" t="s">
        <v>78</v>
      </c>
      <c r="EQ36">
        <v>0</v>
      </c>
      <c r="ER36">
        <v>60883.49</v>
      </c>
      <c r="ES36">
        <v>60883.49</v>
      </c>
      <c r="ET36">
        <v>0</v>
      </c>
      <c r="EU36">
        <v>0</v>
      </c>
      <c r="EV36">
        <v>0</v>
      </c>
      <c r="EW36">
        <v>0</v>
      </c>
      <c r="EX36">
        <v>0</v>
      </c>
      <c r="EZ36">
        <v>0</v>
      </c>
      <c r="FQ36">
        <v>0</v>
      </c>
      <c r="FR36">
        <f t="shared" si="26"/>
        <v>0</v>
      </c>
      <c r="FS36">
        <v>0</v>
      </c>
      <c r="FX36">
        <v>0</v>
      </c>
      <c r="FY36">
        <v>0</v>
      </c>
    </row>
    <row r="37" spans="1:181" ht="12.75">
      <c r="A37">
        <v>18</v>
      </c>
      <c r="B37">
        <v>1</v>
      </c>
      <c r="C37">
        <v>45</v>
      </c>
      <c r="E37" t="s">
        <v>83</v>
      </c>
      <c r="F37" t="s">
        <v>80</v>
      </c>
      <c r="G37" t="s">
        <v>81</v>
      </c>
      <c r="H37" t="s">
        <v>29</v>
      </c>
      <c r="I37">
        <f>I35*J37</f>
        <v>0.03495</v>
      </c>
      <c r="J37">
        <v>0.233</v>
      </c>
      <c r="O37">
        <f t="shared" si="2"/>
        <v>5128.19</v>
      </c>
      <c r="P37">
        <f t="shared" si="3"/>
        <v>5128.19</v>
      </c>
      <c r="Q37">
        <f t="shared" si="4"/>
        <v>0</v>
      </c>
      <c r="R37">
        <f t="shared" si="5"/>
        <v>0</v>
      </c>
      <c r="S37">
        <f t="shared" si="6"/>
        <v>0</v>
      </c>
      <c r="T37">
        <f t="shared" si="7"/>
        <v>0</v>
      </c>
      <c r="U37">
        <f t="shared" si="8"/>
        <v>0</v>
      </c>
      <c r="V37">
        <f t="shared" si="9"/>
        <v>0</v>
      </c>
      <c r="W37">
        <f t="shared" si="10"/>
        <v>0</v>
      </c>
      <c r="X37">
        <f t="shared" si="11"/>
        <v>0</v>
      </c>
      <c r="Y37">
        <f t="shared" si="12"/>
        <v>0</v>
      </c>
      <c r="AA37">
        <v>0</v>
      </c>
      <c r="AB37">
        <f t="shared" si="13"/>
        <v>60883.49</v>
      </c>
      <c r="AC37">
        <f t="shared" si="30"/>
        <v>60883.49</v>
      </c>
      <c r="AD37">
        <f t="shared" si="30"/>
        <v>0</v>
      </c>
      <c r="AE37">
        <f t="shared" si="30"/>
        <v>0</v>
      </c>
      <c r="AF37">
        <f t="shared" si="30"/>
        <v>0</v>
      </c>
      <c r="AG37">
        <f t="shared" si="30"/>
        <v>0</v>
      </c>
      <c r="AH37">
        <f t="shared" si="30"/>
        <v>0</v>
      </c>
      <c r="AI37">
        <f t="shared" si="30"/>
        <v>0</v>
      </c>
      <c r="AJ37">
        <f t="shared" si="30"/>
        <v>0</v>
      </c>
      <c r="AK37">
        <v>60883.49</v>
      </c>
      <c r="AL37">
        <v>60883.49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2.41</v>
      </c>
      <c r="BH37">
        <v>3</v>
      </c>
      <c r="BI37">
        <v>1</v>
      </c>
      <c r="BJ37" t="s">
        <v>82</v>
      </c>
      <c r="BM37">
        <v>82</v>
      </c>
      <c r="BN37">
        <v>0</v>
      </c>
      <c r="BO37" t="s">
        <v>80</v>
      </c>
      <c r="BP37">
        <v>1</v>
      </c>
      <c r="BQ37">
        <v>30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0</v>
      </c>
      <c r="CA37">
        <v>0</v>
      </c>
      <c r="CF37">
        <v>0</v>
      </c>
      <c r="CG37">
        <v>0</v>
      </c>
      <c r="CM37">
        <v>0</v>
      </c>
      <c r="CO37">
        <v>0</v>
      </c>
      <c r="CP37">
        <f t="shared" si="15"/>
        <v>5128.19</v>
      </c>
      <c r="CQ37">
        <f t="shared" si="16"/>
        <v>146729.2109</v>
      </c>
      <c r="CR37">
        <f t="shared" si="17"/>
        <v>0</v>
      </c>
      <c r="CS37">
        <f t="shared" si="18"/>
        <v>0</v>
      </c>
      <c r="CT37">
        <f t="shared" si="19"/>
        <v>0</v>
      </c>
      <c r="CU37">
        <f t="shared" si="20"/>
        <v>0</v>
      </c>
      <c r="CV37">
        <f t="shared" si="21"/>
        <v>0</v>
      </c>
      <c r="CW37">
        <f t="shared" si="22"/>
        <v>0</v>
      </c>
      <c r="CX37">
        <f t="shared" si="23"/>
        <v>0</v>
      </c>
      <c r="CY37">
        <f t="shared" si="24"/>
        <v>0</v>
      </c>
      <c r="CZ37">
        <f t="shared" si="25"/>
        <v>0</v>
      </c>
      <c r="DN37">
        <v>91</v>
      </c>
      <c r="DO37">
        <v>70</v>
      </c>
      <c r="DP37">
        <v>1.047</v>
      </c>
      <c r="DQ37">
        <v>1</v>
      </c>
      <c r="DR37">
        <v>1</v>
      </c>
      <c r="DS37">
        <v>1</v>
      </c>
      <c r="DT37">
        <v>1</v>
      </c>
      <c r="DU37">
        <v>1009</v>
      </c>
      <c r="DV37" t="s">
        <v>29</v>
      </c>
      <c r="DW37" t="s">
        <v>29</v>
      </c>
      <c r="DX37">
        <v>1000</v>
      </c>
      <c r="EE37">
        <v>19684631</v>
      </c>
      <c r="EF37">
        <v>30</v>
      </c>
      <c r="EG37" t="s">
        <v>33</v>
      </c>
      <c r="EH37">
        <v>0</v>
      </c>
      <c r="EJ37">
        <v>1</v>
      </c>
      <c r="EK37">
        <v>82</v>
      </c>
      <c r="EL37" t="s">
        <v>77</v>
      </c>
      <c r="EM37" t="s">
        <v>78</v>
      </c>
      <c r="EQ37">
        <v>0</v>
      </c>
      <c r="ER37">
        <v>60883.49</v>
      </c>
      <c r="ES37">
        <v>60883.49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0</v>
      </c>
      <c r="FQ37">
        <v>0</v>
      </c>
      <c r="FR37">
        <f t="shared" si="26"/>
        <v>0</v>
      </c>
      <c r="FS37">
        <v>0</v>
      </c>
      <c r="FX37">
        <v>0</v>
      </c>
      <c r="FY37">
        <v>0</v>
      </c>
    </row>
    <row r="38" spans="1:181" ht="12.75">
      <c r="A38">
        <v>18</v>
      </c>
      <c r="B38">
        <v>1</v>
      </c>
      <c r="C38">
        <v>46</v>
      </c>
      <c r="E38" t="s">
        <v>84</v>
      </c>
      <c r="F38" t="s">
        <v>80</v>
      </c>
      <c r="G38" t="s">
        <v>81</v>
      </c>
      <c r="H38" t="s">
        <v>29</v>
      </c>
      <c r="I38">
        <f>I35*J38</f>
        <v>0.0028499999999999997</v>
      </c>
      <c r="J38">
        <v>0.019</v>
      </c>
      <c r="O38">
        <f t="shared" si="2"/>
        <v>418.18</v>
      </c>
      <c r="P38">
        <f t="shared" si="3"/>
        <v>418.18</v>
      </c>
      <c r="Q38">
        <f t="shared" si="4"/>
        <v>0</v>
      </c>
      <c r="R38">
        <f t="shared" si="5"/>
        <v>0</v>
      </c>
      <c r="S38">
        <f t="shared" si="6"/>
        <v>0</v>
      </c>
      <c r="T38">
        <f t="shared" si="7"/>
        <v>0</v>
      </c>
      <c r="U38">
        <f t="shared" si="8"/>
        <v>0</v>
      </c>
      <c r="V38">
        <f t="shared" si="9"/>
        <v>0</v>
      </c>
      <c r="W38">
        <f t="shared" si="10"/>
        <v>0</v>
      </c>
      <c r="X38">
        <f t="shared" si="11"/>
        <v>0</v>
      </c>
      <c r="Y38">
        <f t="shared" si="12"/>
        <v>0</v>
      </c>
      <c r="AA38">
        <v>0</v>
      </c>
      <c r="AB38">
        <f t="shared" si="13"/>
        <v>60883.49</v>
      </c>
      <c r="AC38">
        <f t="shared" si="30"/>
        <v>60883.49</v>
      </c>
      <c r="AD38">
        <f t="shared" si="30"/>
        <v>0</v>
      </c>
      <c r="AE38">
        <f t="shared" si="30"/>
        <v>0</v>
      </c>
      <c r="AF38">
        <f t="shared" si="30"/>
        <v>0</v>
      </c>
      <c r="AG38">
        <f t="shared" si="30"/>
        <v>0</v>
      </c>
      <c r="AH38">
        <f t="shared" si="30"/>
        <v>0</v>
      </c>
      <c r="AI38">
        <f t="shared" si="30"/>
        <v>0</v>
      </c>
      <c r="AJ38">
        <f t="shared" si="30"/>
        <v>0</v>
      </c>
      <c r="AK38">
        <v>60883.49</v>
      </c>
      <c r="AL38">
        <v>60883.49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2.41</v>
      </c>
      <c r="BH38">
        <v>3</v>
      </c>
      <c r="BI38">
        <v>1</v>
      </c>
      <c r="BJ38" t="s">
        <v>82</v>
      </c>
      <c r="BM38">
        <v>82</v>
      </c>
      <c r="BN38">
        <v>0</v>
      </c>
      <c r="BO38" t="s">
        <v>80</v>
      </c>
      <c r="BP38">
        <v>1</v>
      </c>
      <c r="BQ38">
        <v>30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0</v>
      </c>
      <c r="CA38">
        <v>0</v>
      </c>
      <c r="CF38">
        <v>0</v>
      </c>
      <c r="CG38">
        <v>0</v>
      </c>
      <c r="CM38">
        <v>0</v>
      </c>
      <c r="CO38">
        <v>0</v>
      </c>
      <c r="CP38">
        <f t="shared" si="15"/>
        <v>418.18</v>
      </c>
      <c r="CQ38">
        <f t="shared" si="16"/>
        <v>146729.2109</v>
      </c>
      <c r="CR38">
        <f t="shared" si="17"/>
        <v>0</v>
      </c>
      <c r="CS38">
        <f t="shared" si="18"/>
        <v>0</v>
      </c>
      <c r="CT38">
        <f t="shared" si="19"/>
        <v>0</v>
      </c>
      <c r="CU38">
        <f t="shared" si="20"/>
        <v>0</v>
      </c>
      <c r="CV38">
        <f t="shared" si="21"/>
        <v>0</v>
      </c>
      <c r="CW38">
        <f t="shared" si="22"/>
        <v>0</v>
      </c>
      <c r="CX38">
        <f t="shared" si="23"/>
        <v>0</v>
      </c>
      <c r="CY38">
        <f t="shared" si="24"/>
        <v>0</v>
      </c>
      <c r="CZ38">
        <f t="shared" si="25"/>
        <v>0</v>
      </c>
      <c r="DN38">
        <v>91</v>
      </c>
      <c r="DO38">
        <v>70</v>
      </c>
      <c r="DP38">
        <v>1.047</v>
      </c>
      <c r="DQ38">
        <v>1</v>
      </c>
      <c r="DR38">
        <v>1</v>
      </c>
      <c r="DS38">
        <v>1</v>
      </c>
      <c r="DT38">
        <v>1</v>
      </c>
      <c r="DU38">
        <v>1009</v>
      </c>
      <c r="DV38" t="s">
        <v>29</v>
      </c>
      <c r="DW38" t="s">
        <v>29</v>
      </c>
      <c r="DX38">
        <v>1000</v>
      </c>
      <c r="EE38">
        <v>19684631</v>
      </c>
      <c r="EF38">
        <v>30</v>
      </c>
      <c r="EG38" t="s">
        <v>33</v>
      </c>
      <c r="EH38">
        <v>0</v>
      </c>
      <c r="EJ38">
        <v>1</v>
      </c>
      <c r="EK38">
        <v>82</v>
      </c>
      <c r="EL38" t="s">
        <v>77</v>
      </c>
      <c r="EM38" t="s">
        <v>78</v>
      </c>
      <c r="EQ38">
        <v>0</v>
      </c>
      <c r="ER38">
        <v>60883.49</v>
      </c>
      <c r="ES38">
        <v>60883.49</v>
      </c>
      <c r="ET38">
        <v>0</v>
      </c>
      <c r="EU38">
        <v>0</v>
      </c>
      <c r="EV38">
        <v>0</v>
      </c>
      <c r="EW38">
        <v>0</v>
      </c>
      <c r="EX38">
        <v>0</v>
      </c>
      <c r="EZ38">
        <v>0</v>
      </c>
      <c r="FQ38">
        <v>0</v>
      </c>
      <c r="FR38">
        <f t="shared" si="26"/>
        <v>0</v>
      </c>
      <c r="FS38">
        <v>0</v>
      </c>
      <c r="FX38">
        <v>0</v>
      </c>
      <c r="FY38">
        <v>0</v>
      </c>
    </row>
    <row r="39" spans="1:181" ht="12.75">
      <c r="A39">
        <v>18</v>
      </c>
      <c r="B39">
        <v>1</v>
      </c>
      <c r="C39">
        <v>42</v>
      </c>
      <c r="E39" t="s">
        <v>85</v>
      </c>
      <c r="F39" t="s">
        <v>86</v>
      </c>
      <c r="G39" t="s">
        <v>87</v>
      </c>
      <c r="H39" t="s">
        <v>22</v>
      </c>
      <c r="I39">
        <f>I35*J39</f>
        <v>18.195</v>
      </c>
      <c r="J39">
        <v>121.30000000000001</v>
      </c>
      <c r="O39">
        <f t="shared" si="2"/>
        <v>2746.75</v>
      </c>
      <c r="P39">
        <f t="shared" si="3"/>
        <v>2746.75</v>
      </c>
      <c r="Q39">
        <f t="shared" si="4"/>
        <v>0</v>
      </c>
      <c r="R39">
        <f t="shared" si="5"/>
        <v>0</v>
      </c>
      <c r="S39">
        <f t="shared" si="6"/>
        <v>0</v>
      </c>
      <c r="T39">
        <f t="shared" si="7"/>
        <v>0</v>
      </c>
      <c r="U39">
        <f t="shared" si="8"/>
        <v>0</v>
      </c>
      <c r="V39">
        <f t="shared" si="9"/>
        <v>0</v>
      </c>
      <c r="W39">
        <f t="shared" si="10"/>
        <v>0</v>
      </c>
      <c r="X39">
        <f t="shared" si="11"/>
        <v>0</v>
      </c>
      <c r="Y39">
        <f t="shared" si="12"/>
        <v>0</v>
      </c>
      <c r="AA39">
        <v>0</v>
      </c>
      <c r="AB39">
        <f t="shared" si="13"/>
        <v>28.7</v>
      </c>
      <c r="AC39">
        <f t="shared" si="30"/>
        <v>28.7</v>
      </c>
      <c r="AD39">
        <f t="shared" si="30"/>
        <v>0</v>
      </c>
      <c r="AE39">
        <f t="shared" si="30"/>
        <v>0</v>
      </c>
      <c r="AF39">
        <f t="shared" si="30"/>
        <v>0</v>
      </c>
      <c r="AG39">
        <f t="shared" si="30"/>
        <v>0</v>
      </c>
      <c r="AH39">
        <f t="shared" si="30"/>
        <v>0</v>
      </c>
      <c r="AI39">
        <f t="shared" si="30"/>
        <v>0</v>
      </c>
      <c r="AJ39">
        <f t="shared" si="30"/>
        <v>0</v>
      </c>
      <c r="AK39">
        <v>28.7</v>
      </c>
      <c r="AL39">
        <v>28.7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5.26</v>
      </c>
      <c r="BH39">
        <v>3</v>
      </c>
      <c r="BI39">
        <v>1</v>
      </c>
      <c r="BJ39" t="s">
        <v>88</v>
      </c>
      <c r="BM39">
        <v>82</v>
      </c>
      <c r="BN39">
        <v>0</v>
      </c>
      <c r="BO39" t="s">
        <v>86</v>
      </c>
      <c r="BP39">
        <v>1</v>
      </c>
      <c r="BQ39">
        <v>30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0</v>
      </c>
      <c r="CA39">
        <v>0</v>
      </c>
      <c r="CF39">
        <v>0</v>
      </c>
      <c r="CG39">
        <v>0</v>
      </c>
      <c r="CM39">
        <v>0</v>
      </c>
      <c r="CO39">
        <v>0</v>
      </c>
      <c r="CP39">
        <f t="shared" si="15"/>
        <v>2746.75</v>
      </c>
      <c r="CQ39">
        <f t="shared" si="16"/>
        <v>150.962</v>
      </c>
      <c r="CR39">
        <f t="shared" si="17"/>
        <v>0</v>
      </c>
      <c r="CS39">
        <f t="shared" si="18"/>
        <v>0</v>
      </c>
      <c r="CT39">
        <f t="shared" si="19"/>
        <v>0</v>
      </c>
      <c r="CU39">
        <f t="shared" si="20"/>
        <v>0</v>
      </c>
      <c r="CV39">
        <f t="shared" si="21"/>
        <v>0</v>
      </c>
      <c r="CW39">
        <f t="shared" si="22"/>
        <v>0</v>
      </c>
      <c r="CX39">
        <f t="shared" si="23"/>
        <v>0</v>
      </c>
      <c r="CY39">
        <f t="shared" si="24"/>
        <v>0</v>
      </c>
      <c r="CZ39">
        <f t="shared" si="25"/>
        <v>0</v>
      </c>
      <c r="DN39">
        <v>91</v>
      </c>
      <c r="DO39">
        <v>70</v>
      </c>
      <c r="DP39">
        <v>1.047</v>
      </c>
      <c r="DQ39">
        <v>1</v>
      </c>
      <c r="DR39">
        <v>1</v>
      </c>
      <c r="DS39">
        <v>1</v>
      </c>
      <c r="DT39">
        <v>1</v>
      </c>
      <c r="DU39">
        <v>1005</v>
      </c>
      <c r="DV39" t="s">
        <v>22</v>
      </c>
      <c r="DW39" t="s">
        <v>22</v>
      </c>
      <c r="DX39">
        <v>1</v>
      </c>
      <c r="EE39">
        <v>19684631</v>
      </c>
      <c r="EF39">
        <v>30</v>
      </c>
      <c r="EG39" t="s">
        <v>33</v>
      </c>
      <c r="EH39">
        <v>0</v>
      </c>
      <c r="EJ39">
        <v>1</v>
      </c>
      <c r="EK39">
        <v>82</v>
      </c>
      <c r="EL39" t="s">
        <v>77</v>
      </c>
      <c r="EM39" t="s">
        <v>78</v>
      </c>
      <c r="EQ39">
        <v>0</v>
      </c>
      <c r="ER39">
        <v>28.7</v>
      </c>
      <c r="ES39">
        <v>28.7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0</v>
      </c>
      <c r="FQ39">
        <v>0</v>
      </c>
      <c r="FR39">
        <f t="shared" si="26"/>
        <v>0</v>
      </c>
      <c r="FS39">
        <v>0</v>
      </c>
      <c r="FX39">
        <v>0</v>
      </c>
      <c r="FY39">
        <v>0</v>
      </c>
    </row>
    <row r="40" spans="1:181" ht="12.75">
      <c r="A40">
        <v>17</v>
      </c>
      <c r="B40">
        <v>1</v>
      </c>
      <c r="C40">
        <f>ROW(SmtRes!A51)</f>
        <v>51</v>
      </c>
      <c r="D40">
        <f>ROW(EtalonRes!A48)</f>
        <v>48</v>
      </c>
      <c r="E40" t="s">
        <v>89</v>
      </c>
      <c r="F40" t="s">
        <v>90</v>
      </c>
      <c r="G40" t="s">
        <v>91</v>
      </c>
      <c r="H40" t="s">
        <v>14</v>
      </c>
      <c r="I40">
        <v>0.02</v>
      </c>
      <c r="J40">
        <v>0</v>
      </c>
      <c r="O40">
        <f t="shared" si="2"/>
        <v>209.59</v>
      </c>
      <c r="P40">
        <f t="shared" si="3"/>
        <v>8.68</v>
      </c>
      <c r="Q40">
        <f t="shared" si="4"/>
        <v>1.07</v>
      </c>
      <c r="R40">
        <f t="shared" si="5"/>
        <v>0.48</v>
      </c>
      <c r="S40">
        <f t="shared" si="6"/>
        <v>199.84</v>
      </c>
      <c r="T40">
        <f t="shared" si="7"/>
        <v>0</v>
      </c>
      <c r="U40">
        <f t="shared" si="8"/>
        <v>0.9620899999999999</v>
      </c>
      <c r="V40">
        <f t="shared" si="9"/>
        <v>0</v>
      </c>
      <c r="W40">
        <f t="shared" si="10"/>
        <v>0</v>
      </c>
      <c r="X40">
        <f t="shared" si="11"/>
        <v>153.88</v>
      </c>
      <c r="Y40">
        <f t="shared" si="12"/>
        <v>87.93</v>
      </c>
      <c r="AA40">
        <v>0</v>
      </c>
      <c r="AB40">
        <f t="shared" si="13"/>
        <v>904.7165</v>
      </c>
      <c r="AC40">
        <f>(ES40)</f>
        <v>312.37</v>
      </c>
      <c r="AD40">
        <f>((ET40*1.25))</f>
        <v>5.949999999999999</v>
      </c>
      <c r="AE40">
        <f>((EU40*1.25))</f>
        <v>1.4124999999999999</v>
      </c>
      <c r="AF40">
        <f>((EV40*1.15))</f>
        <v>586.3965</v>
      </c>
      <c r="AG40">
        <f>(AP40)</f>
        <v>0</v>
      </c>
      <c r="AH40">
        <f>((EW40*1.15))</f>
        <v>48.104499999999994</v>
      </c>
      <c r="AI40">
        <f>((EX40*1.25))</f>
        <v>0</v>
      </c>
      <c r="AJ40">
        <f>(AS40)</f>
        <v>0</v>
      </c>
      <c r="AK40">
        <v>827.04</v>
      </c>
      <c r="AL40">
        <v>312.37</v>
      </c>
      <c r="AM40">
        <v>4.76</v>
      </c>
      <c r="AN40">
        <v>1.13</v>
      </c>
      <c r="AO40">
        <v>509.91</v>
      </c>
      <c r="AP40">
        <v>0</v>
      </c>
      <c r="AQ40">
        <v>41.83</v>
      </c>
      <c r="AR40">
        <v>0</v>
      </c>
      <c r="AS40">
        <v>0</v>
      </c>
      <c r="AT40">
        <v>77</v>
      </c>
      <c r="AU40">
        <v>44</v>
      </c>
      <c r="AV40">
        <v>1</v>
      </c>
      <c r="AW40">
        <v>1</v>
      </c>
      <c r="AX40">
        <v>1</v>
      </c>
      <c r="AY40">
        <v>1</v>
      </c>
      <c r="AZ40">
        <v>17.04</v>
      </c>
      <c r="BA40">
        <v>17.04</v>
      </c>
      <c r="BB40">
        <v>8.97</v>
      </c>
      <c r="BC40">
        <v>1.39</v>
      </c>
      <c r="BH40">
        <v>0</v>
      </c>
      <c r="BI40">
        <v>1</v>
      </c>
      <c r="BJ40" t="s">
        <v>92</v>
      </c>
      <c r="BM40">
        <v>82</v>
      </c>
      <c r="BN40">
        <v>0</v>
      </c>
      <c r="BO40" t="s">
        <v>90</v>
      </c>
      <c r="BP40">
        <v>1</v>
      </c>
      <c r="BQ40">
        <v>30</v>
      </c>
      <c r="BR40">
        <v>0</v>
      </c>
      <c r="BS40">
        <v>17.04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77</v>
      </c>
      <c r="CA40">
        <v>44</v>
      </c>
      <c r="CF40">
        <v>0</v>
      </c>
      <c r="CG40">
        <v>0</v>
      </c>
      <c r="CM40">
        <v>0</v>
      </c>
      <c r="CO40">
        <v>0</v>
      </c>
      <c r="CP40">
        <f t="shared" si="15"/>
        <v>209.59</v>
      </c>
      <c r="CQ40">
        <f t="shared" si="16"/>
        <v>434.1943</v>
      </c>
      <c r="CR40">
        <f t="shared" si="17"/>
        <v>53.3715</v>
      </c>
      <c r="CS40">
        <f t="shared" si="18"/>
        <v>24.068999999999996</v>
      </c>
      <c r="CT40">
        <f t="shared" si="19"/>
        <v>9992.196359999998</v>
      </c>
      <c r="CU40">
        <f t="shared" si="20"/>
        <v>0</v>
      </c>
      <c r="CV40">
        <f t="shared" si="21"/>
        <v>48.104499999999994</v>
      </c>
      <c r="CW40">
        <f t="shared" si="22"/>
        <v>0</v>
      </c>
      <c r="CX40">
        <f t="shared" si="23"/>
        <v>0</v>
      </c>
      <c r="CY40">
        <f t="shared" si="24"/>
        <v>153.8768</v>
      </c>
      <c r="CZ40">
        <f t="shared" si="25"/>
        <v>87.92960000000001</v>
      </c>
      <c r="DE40" t="s">
        <v>75</v>
      </c>
      <c r="DF40" t="s">
        <v>75</v>
      </c>
      <c r="DG40" t="s">
        <v>76</v>
      </c>
      <c r="DI40" t="s">
        <v>76</v>
      </c>
      <c r="DJ40" t="s">
        <v>75</v>
      </c>
      <c r="DN40">
        <v>91</v>
      </c>
      <c r="DO40">
        <v>70</v>
      </c>
      <c r="DP40">
        <v>1.047</v>
      </c>
      <c r="DQ40">
        <v>1</v>
      </c>
      <c r="DR40">
        <v>1</v>
      </c>
      <c r="DS40">
        <v>1</v>
      </c>
      <c r="DT40">
        <v>1</v>
      </c>
      <c r="DU40">
        <v>1005</v>
      </c>
      <c r="DV40" t="s">
        <v>14</v>
      </c>
      <c r="DW40" t="s">
        <v>14</v>
      </c>
      <c r="DX40">
        <v>100</v>
      </c>
      <c r="EE40">
        <v>19684631</v>
      </c>
      <c r="EF40">
        <v>30</v>
      </c>
      <c r="EG40" t="s">
        <v>33</v>
      </c>
      <c r="EH40">
        <v>0</v>
      </c>
      <c r="EJ40">
        <v>1</v>
      </c>
      <c r="EK40">
        <v>82</v>
      </c>
      <c r="EL40" t="s">
        <v>77</v>
      </c>
      <c r="EM40" t="s">
        <v>78</v>
      </c>
      <c r="EQ40">
        <v>64</v>
      </c>
      <c r="ER40">
        <v>827.04</v>
      </c>
      <c r="ES40">
        <v>312.37</v>
      </c>
      <c r="ET40">
        <v>4.76</v>
      </c>
      <c r="EU40">
        <v>1.13</v>
      </c>
      <c r="EV40">
        <v>509.91</v>
      </c>
      <c r="EW40">
        <v>41.83</v>
      </c>
      <c r="EX40">
        <v>0</v>
      </c>
      <c r="EY40">
        <v>0</v>
      </c>
      <c r="EZ40">
        <v>0</v>
      </c>
      <c r="FQ40">
        <v>0</v>
      </c>
      <c r="FR40">
        <f t="shared" si="26"/>
        <v>0</v>
      </c>
      <c r="FS40">
        <v>0</v>
      </c>
      <c r="FX40">
        <v>77</v>
      </c>
      <c r="FY40">
        <v>44</v>
      </c>
    </row>
    <row r="41" spans="1:181" ht="12.75">
      <c r="A41">
        <v>18</v>
      </c>
      <c r="B41">
        <v>1</v>
      </c>
      <c r="C41">
        <v>50</v>
      </c>
      <c r="E41" t="s">
        <v>93</v>
      </c>
      <c r="F41" t="s">
        <v>80</v>
      </c>
      <c r="G41" t="s">
        <v>81</v>
      </c>
      <c r="H41" t="s">
        <v>29</v>
      </c>
      <c r="I41">
        <f>I40*J41</f>
        <v>0.0005334</v>
      </c>
      <c r="J41">
        <v>0.026669999999999996</v>
      </c>
      <c r="O41">
        <f t="shared" si="2"/>
        <v>78.27</v>
      </c>
      <c r="P41">
        <f t="shared" si="3"/>
        <v>78.27</v>
      </c>
      <c r="Q41">
        <f t="shared" si="4"/>
        <v>0</v>
      </c>
      <c r="R41">
        <f t="shared" si="5"/>
        <v>0</v>
      </c>
      <c r="S41">
        <f t="shared" si="6"/>
        <v>0</v>
      </c>
      <c r="T41">
        <f t="shared" si="7"/>
        <v>0</v>
      </c>
      <c r="U41">
        <f t="shared" si="8"/>
        <v>0</v>
      </c>
      <c r="V41">
        <f t="shared" si="9"/>
        <v>0</v>
      </c>
      <c r="W41">
        <f t="shared" si="10"/>
        <v>0</v>
      </c>
      <c r="X41">
        <f t="shared" si="11"/>
        <v>0</v>
      </c>
      <c r="Y41">
        <f t="shared" si="12"/>
        <v>0</v>
      </c>
      <c r="AA41">
        <v>0</v>
      </c>
      <c r="AB41">
        <f t="shared" si="13"/>
        <v>60883.49</v>
      </c>
      <c r="AC41">
        <f aca="true" t="shared" si="31" ref="AC41:AJ42">AL41</f>
        <v>60883.49</v>
      </c>
      <c r="AD41">
        <f t="shared" si="31"/>
        <v>0</v>
      </c>
      <c r="AE41">
        <f t="shared" si="31"/>
        <v>0</v>
      </c>
      <c r="AF41">
        <f t="shared" si="31"/>
        <v>0</v>
      </c>
      <c r="AG41">
        <f t="shared" si="31"/>
        <v>0</v>
      </c>
      <c r="AH41">
        <f t="shared" si="31"/>
        <v>0</v>
      </c>
      <c r="AI41">
        <f t="shared" si="31"/>
        <v>0</v>
      </c>
      <c r="AJ41">
        <f t="shared" si="31"/>
        <v>0</v>
      </c>
      <c r="AK41">
        <v>60883.49</v>
      </c>
      <c r="AL41">
        <v>60883.49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2.41</v>
      </c>
      <c r="BH41">
        <v>3</v>
      </c>
      <c r="BI41">
        <v>1</v>
      </c>
      <c r="BJ41" t="s">
        <v>82</v>
      </c>
      <c r="BM41">
        <v>82</v>
      </c>
      <c r="BN41">
        <v>0</v>
      </c>
      <c r="BO41" t="s">
        <v>80</v>
      </c>
      <c r="BP41">
        <v>1</v>
      </c>
      <c r="BQ41">
        <v>30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0</v>
      </c>
      <c r="CA41">
        <v>0</v>
      </c>
      <c r="CF41">
        <v>0</v>
      </c>
      <c r="CG41">
        <v>0</v>
      </c>
      <c r="CM41">
        <v>0</v>
      </c>
      <c r="CO41">
        <v>0</v>
      </c>
      <c r="CP41">
        <f t="shared" si="15"/>
        <v>78.27</v>
      </c>
      <c r="CQ41">
        <f t="shared" si="16"/>
        <v>146729.2109</v>
      </c>
      <c r="CR41">
        <f t="shared" si="17"/>
        <v>0</v>
      </c>
      <c r="CS41">
        <f t="shared" si="18"/>
        <v>0</v>
      </c>
      <c r="CT41">
        <f t="shared" si="19"/>
        <v>0</v>
      </c>
      <c r="CU41">
        <f t="shared" si="20"/>
        <v>0</v>
      </c>
      <c r="CV41">
        <f t="shared" si="21"/>
        <v>0</v>
      </c>
      <c r="CW41">
        <f t="shared" si="22"/>
        <v>0</v>
      </c>
      <c r="CX41">
        <f t="shared" si="23"/>
        <v>0</v>
      </c>
      <c r="CY41">
        <f t="shared" si="24"/>
        <v>0</v>
      </c>
      <c r="CZ41">
        <f t="shared" si="25"/>
        <v>0</v>
      </c>
      <c r="DN41">
        <v>91</v>
      </c>
      <c r="DO41">
        <v>70</v>
      </c>
      <c r="DP41">
        <v>1.047</v>
      </c>
      <c r="DQ41">
        <v>1</v>
      </c>
      <c r="DR41">
        <v>1</v>
      </c>
      <c r="DS41">
        <v>1</v>
      </c>
      <c r="DT41">
        <v>1</v>
      </c>
      <c r="DU41">
        <v>1009</v>
      </c>
      <c r="DV41" t="s">
        <v>29</v>
      </c>
      <c r="DW41" t="s">
        <v>29</v>
      </c>
      <c r="DX41">
        <v>1000</v>
      </c>
      <c r="EE41">
        <v>19684631</v>
      </c>
      <c r="EF41">
        <v>30</v>
      </c>
      <c r="EG41" t="s">
        <v>33</v>
      </c>
      <c r="EH41">
        <v>0</v>
      </c>
      <c r="EJ41">
        <v>1</v>
      </c>
      <c r="EK41">
        <v>82</v>
      </c>
      <c r="EL41" t="s">
        <v>77</v>
      </c>
      <c r="EM41" t="s">
        <v>78</v>
      </c>
      <c r="EQ41">
        <v>0</v>
      </c>
      <c r="ER41">
        <v>60883.49</v>
      </c>
      <c r="ES41">
        <v>60883.49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0</v>
      </c>
      <c r="FQ41">
        <v>0</v>
      </c>
      <c r="FR41">
        <f t="shared" si="26"/>
        <v>0</v>
      </c>
      <c r="FS41">
        <v>0</v>
      </c>
      <c r="FX41">
        <v>0</v>
      </c>
      <c r="FY41">
        <v>0</v>
      </c>
    </row>
    <row r="42" spans="1:181" ht="12.75">
      <c r="A42">
        <v>18</v>
      </c>
      <c r="B42">
        <v>1</v>
      </c>
      <c r="C42">
        <v>51</v>
      </c>
      <c r="E42" t="s">
        <v>94</v>
      </c>
      <c r="F42" t="s">
        <v>80</v>
      </c>
      <c r="G42" t="s">
        <v>81</v>
      </c>
      <c r="H42" t="s">
        <v>29</v>
      </c>
      <c r="I42">
        <f>I40*J42</f>
        <v>0.0016330000000000001</v>
      </c>
      <c r="J42">
        <v>0.08165</v>
      </c>
      <c r="O42">
        <f t="shared" si="2"/>
        <v>239.61</v>
      </c>
      <c r="P42">
        <f t="shared" si="3"/>
        <v>239.61</v>
      </c>
      <c r="Q42">
        <f t="shared" si="4"/>
        <v>0</v>
      </c>
      <c r="R42">
        <f t="shared" si="5"/>
        <v>0</v>
      </c>
      <c r="S42">
        <f t="shared" si="6"/>
        <v>0</v>
      </c>
      <c r="T42">
        <f t="shared" si="7"/>
        <v>0</v>
      </c>
      <c r="U42">
        <f t="shared" si="8"/>
        <v>0</v>
      </c>
      <c r="V42">
        <f t="shared" si="9"/>
        <v>0</v>
      </c>
      <c r="W42">
        <f t="shared" si="10"/>
        <v>0</v>
      </c>
      <c r="X42">
        <f t="shared" si="11"/>
        <v>0</v>
      </c>
      <c r="Y42">
        <f t="shared" si="12"/>
        <v>0</v>
      </c>
      <c r="AA42">
        <v>0</v>
      </c>
      <c r="AB42">
        <f t="shared" si="13"/>
        <v>60883.49</v>
      </c>
      <c r="AC42">
        <f t="shared" si="31"/>
        <v>60883.49</v>
      </c>
      <c r="AD42">
        <f t="shared" si="31"/>
        <v>0</v>
      </c>
      <c r="AE42">
        <f t="shared" si="31"/>
        <v>0</v>
      </c>
      <c r="AF42">
        <f t="shared" si="31"/>
        <v>0</v>
      </c>
      <c r="AG42">
        <f t="shared" si="31"/>
        <v>0</v>
      </c>
      <c r="AH42">
        <f t="shared" si="31"/>
        <v>0</v>
      </c>
      <c r="AI42">
        <f t="shared" si="31"/>
        <v>0</v>
      </c>
      <c r="AJ42">
        <f t="shared" si="31"/>
        <v>0</v>
      </c>
      <c r="AK42">
        <v>60883.49</v>
      </c>
      <c r="AL42">
        <v>60883.49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2.41</v>
      </c>
      <c r="BH42">
        <v>3</v>
      </c>
      <c r="BI42">
        <v>1</v>
      </c>
      <c r="BJ42" t="s">
        <v>82</v>
      </c>
      <c r="BM42">
        <v>82</v>
      </c>
      <c r="BN42">
        <v>0</v>
      </c>
      <c r="BO42" t="s">
        <v>80</v>
      </c>
      <c r="BP42">
        <v>1</v>
      </c>
      <c r="BQ42">
        <v>30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0</v>
      </c>
      <c r="CA42">
        <v>0</v>
      </c>
      <c r="CF42">
        <v>0</v>
      </c>
      <c r="CG42">
        <v>0</v>
      </c>
      <c r="CM42">
        <v>0</v>
      </c>
      <c r="CO42">
        <v>0</v>
      </c>
      <c r="CP42">
        <f t="shared" si="15"/>
        <v>239.61</v>
      </c>
      <c r="CQ42">
        <f t="shared" si="16"/>
        <v>146729.2109</v>
      </c>
      <c r="CR42">
        <f t="shared" si="17"/>
        <v>0</v>
      </c>
      <c r="CS42">
        <f t="shared" si="18"/>
        <v>0</v>
      </c>
      <c r="CT42">
        <f t="shared" si="19"/>
        <v>0</v>
      </c>
      <c r="CU42">
        <f t="shared" si="20"/>
        <v>0</v>
      </c>
      <c r="CV42">
        <f t="shared" si="21"/>
        <v>0</v>
      </c>
      <c r="CW42">
        <f t="shared" si="22"/>
        <v>0</v>
      </c>
      <c r="CX42">
        <f t="shared" si="23"/>
        <v>0</v>
      </c>
      <c r="CY42">
        <f t="shared" si="24"/>
        <v>0</v>
      </c>
      <c r="CZ42">
        <f t="shared" si="25"/>
        <v>0</v>
      </c>
      <c r="DN42">
        <v>91</v>
      </c>
      <c r="DO42">
        <v>70</v>
      </c>
      <c r="DP42">
        <v>1.047</v>
      </c>
      <c r="DQ42">
        <v>1</v>
      </c>
      <c r="DR42">
        <v>1</v>
      </c>
      <c r="DS42">
        <v>1</v>
      </c>
      <c r="DT42">
        <v>1</v>
      </c>
      <c r="DU42">
        <v>1009</v>
      </c>
      <c r="DV42" t="s">
        <v>29</v>
      </c>
      <c r="DW42" t="s">
        <v>29</v>
      </c>
      <c r="DX42">
        <v>1000</v>
      </c>
      <c r="EE42">
        <v>19684631</v>
      </c>
      <c r="EF42">
        <v>30</v>
      </c>
      <c r="EG42" t="s">
        <v>33</v>
      </c>
      <c r="EH42">
        <v>0</v>
      </c>
      <c r="EJ42">
        <v>1</v>
      </c>
      <c r="EK42">
        <v>82</v>
      </c>
      <c r="EL42" t="s">
        <v>77</v>
      </c>
      <c r="EM42" t="s">
        <v>78</v>
      </c>
      <c r="EQ42">
        <v>0</v>
      </c>
      <c r="ER42">
        <v>60883.49</v>
      </c>
      <c r="ES42">
        <v>60883.49</v>
      </c>
      <c r="ET42">
        <v>0</v>
      </c>
      <c r="EU42">
        <v>0</v>
      </c>
      <c r="EV42">
        <v>0</v>
      </c>
      <c r="EW42">
        <v>0</v>
      </c>
      <c r="EX42">
        <v>0</v>
      </c>
      <c r="EZ42">
        <v>0</v>
      </c>
      <c r="FQ42">
        <v>0</v>
      </c>
      <c r="FR42">
        <f t="shared" si="26"/>
        <v>0</v>
      </c>
      <c r="FS42">
        <v>0</v>
      </c>
      <c r="FX42">
        <v>0</v>
      </c>
      <c r="FY42">
        <v>0</v>
      </c>
    </row>
    <row r="43" spans="1:181" ht="12.75">
      <c r="A43">
        <v>17</v>
      </c>
      <c r="B43">
        <v>1</v>
      </c>
      <c r="C43">
        <f>ROW(SmtRes!A57)</f>
        <v>57</v>
      </c>
      <c r="D43">
        <f>ROW(EtalonRes!A54)</f>
        <v>54</v>
      </c>
      <c r="E43" t="s">
        <v>95</v>
      </c>
      <c r="F43" t="s">
        <v>96</v>
      </c>
      <c r="G43" t="s">
        <v>97</v>
      </c>
      <c r="H43" t="s">
        <v>14</v>
      </c>
      <c r="I43">
        <v>0.018</v>
      </c>
      <c r="J43">
        <v>0</v>
      </c>
      <c r="O43">
        <f t="shared" si="2"/>
        <v>327.81</v>
      </c>
      <c r="P43">
        <f t="shared" si="3"/>
        <v>5.43</v>
      </c>
      <c r="Q43">
        <f t="shared" si="4"/>
        <v>50.91</v>
      </c>
      <c r="R43">
        <f t="shared" si="5"/>
        <v>27.25</v>
      </c>
      <c r="S43">
        <f t="shared" si="6"/>
        <v>271.47</v>
      </c>
      <c r="T43">
        <f t="shared" si="7"/>
        <v>0</v>
      </c>
      <c r="U43">
        <f t="shared" si="8"/>
        <v>1.3889699999999998</v>
      </c>
      <c r="V43">
        <f t="shared" si="9"/>
        <v>0</v>
      </c>
      <c r="W43">
        <f t="shared" si="10"/>
        <v>0</v>
      </c>
      <c r="X43">
        <f t="shared" si="11"/>
        <v>241.61</v>
      </c>
      <c r="Y43">
        <f t="shared" si="12"/>
        <v>119.45</v>
      </c>
      <c r="AA43">
        <v>0</v>
      </c>
      <c r="AB43">
        <f t="shared" si="13"/>
        <v>1438.9634999999998</v>
      </c>
      <c r="AC43">
        <f>(ES43)</f>
        <v>217.19</v>
      </c>
      <c r="AD43">
        <f>((ET43*1.25))</f>
        <v>336.6875</v>
      </c>
      <c r="AE43">
        <f>((EU43*1.25))</f>
        <v>88.85</v>
      </c>
      <c r="AF43">
        <f>((EV43*1.15))</f>
        <v>885.0859999999999</v>
      </c>
      <c r="AG43">
        <f>(AP43)</f>
        <v>0</v>
      </c>
      <c r="AH43">
        <f>((EW43*1.15))</f>
        <v>77.16499999999999</v>
      </c>
      <c r="AI43">
        <f>((EX43*1.25))</f>
        <v>0</v>
      </c>
      <c r="AJ43">
        <f>(AS43)</f>
        <v>0</v>
      </c>
      <c r="AK43">
        <v>1256.18</v>
      </c>
      <c r="AL43">
        <v>217.19</v>
      </c>
      <c r="AM43">
        <v>269.35</v>
      </c>
      <c r="AN43">
        <v>71.08</v>
      </c>
      <c r="AO43">
        <v>769.64</v>
      </c>
      <c r="AP43">
        <v>0</v>
      </c>
      <c r="AQ43">
        <v>67.1</v>
      </c>
      <c r="AR43">
        <v>0</v>
      </c>
      <c r="AS43">
        <v>0</v>
      </c>
      <c r="AT43">
        <v>89</v>
      </c>
      <c r="AU43">
        <v>44</v>
      </c>
      <c r="AV43">
        <v>1</v>
      </c>
      <c r="AW43">
        <v>1</v>
      </c>
      <c r="AX43">
        <v>1</v>
      </c>
      <c r="AY43">
        <v>1</v>
      </c>
      <c r="AZ43">
        <v>17.04</v>
      </c>
      <c r="BA43">
        <v>17.04</v>
      </c>
      <c r="BB43">
        <v>8.4</v>
      </c>
      <c r="BC43">
        <v>1.39</v>
      </c>
      <c r="BH43">
        <v>0</v>
      </c>
      <c r="BI43">
        <v>1</v>
      </c>
      <c r="BJ43" t="s">
        <v>98</v>
      </c>
      <c r="BM43">
        <v>83</v>
      </c>
      <c r="BN43">
        <v>0</v>
      </c>
      <c r="BO43" t="s">
        <v>96</v>
      </c>
      <c r="BP43">
        <v>1</v>
      </c>
      <c r="BQ43">
        <v>30</v>
      </c>
      <c r="BR43">
        <v>0</v>
      </c>
      <c r="BS43">
        <v>17.04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89</v>
      </c>
      <c r="CA43">
        <v>44</v>
      </c>
      <c r="CF43">
        <v>0</v>
      </c>
      <c r="CG43">
        <v>0</v>
      </c>
      <c r="CM43">
        <v>0</v>
      </c>
      <c r="CO43">
        <v>0</v>
      </c>
      <c r="CP43">
        <f t="shared" si="15"/>
        <v>327.81</v>
      </c>
      <c r="CQ43">
        <f t="shared" si="16"/>
        <v>301.8941</v>
      </c>
      <c r="CR43">
        <f t="shared" si="17"/>
        <v>2828.175</v>
      </c>
      <c r="CS43">
        <f t="shared" si="18"/>
        <v>1514.004</v>
      </c>
      <c r="CT43">
        <f t="shared" si="19"/>
        <v>15081.865439999998</v>
      </c>
      <c r="CU43">
        <f t="shared" si="20"/>
        <v>0</v>
      </c>
      <c r="CV43">
        <f t="shared" si="21"/>
        <v>77.16499999999999</v>
      </c>
      <c r="CW43">
        <f t="shared" si="22"/>
        <v>0</v>
      </c>
      <c r="CX43">
        <f t="shared" si="23"/>
        <v>0</v>
      </c>
      <c r="CY43">
        <f t="shared" si="24"/>
        <v>241.6083</v>
      </c>
      <c r="CZ43">
        <f t="shared" si="25"/>
        <v>119.44680000000001</v>
      </c>
      <c r="DE43" t="s">
        <v>31</v>
      </c>
      <c r="DF43" t="s">
        <v>31</v>
      </c>
      <c r="DG43" t="s">
        <v>32</v>
      </c>
      <c r="DI43" t="s">
        <v>32</v>
      </c>
      <c r="DJ43" t="s">
        <v>31</v>
      </c>
      <c r="DN43">
        <v>105</v>
      </c>
      <c r="DO43">
        <v>70</v>
      </c>
      <c r="DP43">
        <v>1.047</v>
      </c>
      <c r="DQ43">
        <v>1</v>
      </c>
      <c r="DR43">
        <v>1</v>
      </c>
      <c r="DS43">
        <v>1</v>
      </c>
      <c r="DT43">
        <v>1</v>
      </c>
      <c r="DU43">
        <v>1005</v>
      </c>
      <c r="DV43" t="s">
        <v>14</v>
      </c>
      <c r="DW43" t="s">
        <v>14</v>
      </c>
      <c r="DX43">
        <v>100</v>
      </c>
      <c r="EE43">
        <v>19684632</v>
      </c>
      <c r="EF43">
        <v>30</v>
      </c>
      <c r="EG43" t="s">
        <v>33</v>
      </c>
      <c r="EH43">
        <v>0</v>
      </c>
      <c r="EJ43">
        <v>1</v>
      </c>
      <c r="EK43">
        <v>83</v>
      </c>
      <c r="EL43" t="s">
        <v>99</v>
      </c>
      <c r="EM43" t="s">
        <v>100</v>
      </c>
      <c r="EQ43">
        <v>64</v>
      </c>
      <c r="ER43">
        <v>1256.18</v>
      </c>
      <c r="ES43">
        <v>217.19</v>
      </c>
      <c r="ET43">
        <v>269.35</v>
      </c>
      <c r="EU43">
        <v>71.08</v>
      </c>
      <c r="EV43">
        <v>769.64</v>
      </c>
      <c r="EW43">
        <v>67.1</v>
      </c>
      <c r="EX43">
        <v>0</v>
      </c>
      <c r="EY43">
        <v>0</v>
      </c>
      <c r="EZ43">
        <v>0</v>
      </c>
      <c r="FQ43">
        <v>0</v>
      </c>
      <c r="FR43">
        <f t="shared" si="26"/>
        <v>0</v>
      </c>
      <c r="FS43">
        <v>0</v>
      </c>
      <c r="FX43">
        <v>89</v>
      </c>
      <c r="FY43">
        <v>44</v>
      </c>
    </row>
    <row r="44" spans="1:181" ht="12.75">
      <c r="A44">
        <v>18</v>
      </c>
      <c r="B44">
        <v>1</v>
      </c>
      <c r="C44">
        <v>56</v>
      </c>
      <c r="E44" t="s">
        <v>101</v>
      </c>
      <c r="F44" t="s">
        <v>102</v>
      </c>
      <c r="G44" t="s">
        <v>103</v>
      </c>
      <c r="H44" t="s">
        <v>22</v>
      </c>
      <c r="I44">
        <f>I43*J44</f>
        <v>1.8</v>
      </c>
      <c r="J44">
        <v>100.00000000000001</v>
      </c>
      <c r="O44">
        <f t="shared" si="2"/>
        <v>2443.34</v>
      </c>
      <c r="P44">
        <f t="shared" si="3"/>
        <v>2443.34</v>
      </c>
      <c r="Q44">
        <f t="shared" si="4"/>
        <v>0</v>
      </c>
      <c r="R44">
        <f t="shared" si="5"/>
        <v>0</v>
      </c>
      <c r="S44">
        <f t="shared" si="6"/>
        <v>0</v>
      </c>
      <c r="T44">
        <f t="shared" si="7"/>
        <v>0</v>
      </c>
      <c r="U44">
        <f t="shared" si="8"/>
        <v>0</v>
      </c>
      <c r="V44">
        <f t="shared" si="9"/>
        <v>0</v>
      </c>
      <c r="W44">
        <f t="shared" si="10"/>
        <v>0</v>
      </c>
      <c r="X44">
        <f t="shared" si="11"/>
        <v>0</v>
      </c>
      <c r="Y44">
        <f t="shared" si="12"/>
        <v>0</v>
      </c>
      <c r="AA44">
        <v>0</v>
      </c>
      <c r="AB44">
        <f t="shared" si="13"/>
        <v>291.29</v>
      </c>
      <c r="AC44">
        <f aca="true" t="shared" si="32" ref="AC44:AJ44">AL44</f>
        <v>291.29</v>
      </c>
      <c r="AD44">
        <f t="shared" si="32"/>
        <v>0</v>
      </c>
      <c r="AE44">
        <f t="shared" si="32"/>
        <v>0</v>
      </c>
      <c r="AF44">
        <f t="shared" si="32"/>
        <v>0</v>
      </c>
      <c r="AG44">
        <f t="shared" si="32"/>
        <v>0</v>
      </c>
      <c r="AH44">
        <f t="shared" si="32"/>
        <v>0</v>
      </c>
      <c r="AI44">
        <f t="shared" si="32"/>
        <v>0</v>
      </c>
      <c r="AJ44">
        <f t="shared" si="32"/>
        <v>0</v>
      </c>
      <c r="AK44">
        <v>291.29</v>
      </c>
      <c r="AL44">
        <v>291.29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4.66</v>
      </c>
      <c r="BH44">
        <v>3</v>
      </c>
      <c r="BI44">
        <v>1</v>
      </c>
      <c r="BJ44" t="s">
        <v>104</v>
      </c>
      <c r="BM44">
        <v>83</v>
      </c>
      <c r="BN44">
        <v>0</v>
      </c>
      <c r="BO44" t="s">
        <v>102</v>
      </c>
      <c r="BP44">
        <v>1</v>
      </c>
      <c r="BQ44">
        <v>30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0</v>
      </c>
      <c r="CA44">
        <v>0</v>
      </c>
      <c r="CF44">
        <v>0</v>
      </c>
      <c r="CG44">
        <v>0</v>
      </c>
      <c r="CM44">
        <v>0</v>
      </c>
      <c r="CO44">
        <v>0</v>
      </c>
      <c r="CP44">
        <f t="shared" si="15"/>
        <v>2443.34</v>
      </c>
      <c r="CQ44">
        <f t="shared" si="16"/>
        <v>1357.4114000000002</v>
      </c>
      <c r="CR44">
        <f t="shared" si="17"/>
        <v>0</v>
      </c>
      <c r="CS44">
        <f t="shared" si="18"/>
        <v>0</v>
      </c>
      <c r="CT44">
        <f t="shared" si="19"/>
        <v>0</v>
      </c>
      <c r="CU44">
        <f t="shared" si="20"/>
        <v>0</v>
      </c>
      <c r="CV44">
        <f t="shared" si="21"/>
        <v>0</v>
      </c>
      <c r="CW44">
        <f t="shared" si="22"/>
        <v>0</v>
      </c>
      <c r="CX44">
        <f t="shared" si="23"/>
        <v>0</v>
      </c>
      <c r="CY44">
        <f t="shared" si="24"/>
        <v>0</v>
      </c>
      <c r="CZ44">
        <f t="shared" si="25"/>
        <v>0</v>
      </c>
      <c r="DN44">
        <v>105</v>
      </c>
      <c r="DO44">
        <v>70</v>
      </c>
      <c r="DP44">
        <v>1.047</v>
      </c>
      <c r="DQ44">
        <v>1</v>
      </c>
      <c r="DR44">
        <v>1</v>
      </c>
      <c r="DS44">
        <v>1</v>
      </c>
      <c r="DT44">
        <v>1</v>
      </c>
      <c r="DU44">
        <v>1005</v>
      </c>
      <c r="DV44" t="s">
        <v>22</v>
      </c>
      <c r="DW44" t="s">
        <v>22</v>
      </c>
      <c r="DX44">
        <v>1</v>
      </c>
      <c r="EE44">
        <v>19684632</v>
      </c>
      <c r="EF44">
        <v>30</v>
      </c>
      <c r="EG44" t="s">
        <v>33</v>
      </c>
      <c r="EH44">
        <v>0</v>
      </c>
      <c r="EJ44">
        <v>1</v>
      </c>
      <c r="EK44">
        <v>83</v>
      </c>
      <c r="EL44" t="s">
        <v>99</v>
      </c>
      <c r="EM44" t="s">
        <v>100</v>
      </c>
      <c r="EQ44">
        <v>0</v>
      </c>
      <c r="ER44">
        <v>291.29</v>
      </c>
      <c r="ES44">
        <v>291.29</v>
      </c>
      <c r="ET44">
        <v>0</v>
      </c>
      <c r="EU44">
        <v>0</v>
      </c>
      <c r="EV44">
        <v>0</v>
      </c>
      <c r="EW44">
        <v>0</v>
      </c>
      <c r="EX44">
        <v>0</v>
      </c>
      <c r="EZ44">
        <v>0</v>
      </c>
      <c r="FQ44">
        <v>0</v>
      </c>
      <c r="FR44">
        <f t="shared" si="26"/>
        <v>0</v>
      </c>
      <c r="FS44">
        <v>0</v>
      </c>
      <c r="FX44">
        <v>0</v>
      </c>
      <c r="FY44">
        <v>0</v>
      </c>
    </row>
    <row r="45" spans="1:181" ht="12.75">
      <c r="A45">
        <v>17</v>
      </c>
      <c r="B45">
        <v>1</v>
      </c>
      <c r="C45">
        <f>ROW(SmtRes!A62)</f>
        <v>62</v>
      </c>
      <c r="D45">
        <f>ROW(EtalonRes!A59)</f>
        <v>59</v>
      </c>
      <c r="E45" t="s">
        <v>105</v>
      </c>
      <c r="F45" t="s">
        <v>106</v>
      </c>
      <c r="G45" t="s">
        <v>107</v>
      </c>
      <c r="H45" t="s">
        <v>14</v>
      </c>
      <c r="I45">
        <v>1.5</v>
      </c>
      <c r="J45">
        <v>0</v>
      </c>
      <c r="O45">
        <f t="shared" si="2"/>
        <v>113632.22</v>
      </c>
      <c r="P45">
        <f t="shared" si="3"/>
        <v>11783.42</v>
      </c>
      <c r="Q45">
        <f t="shared" si="4"/>
        <v>2546.46</v>
      </c>
      <c r="R45">
        <f t="shared" si="5"/>
        <v>1381.84</v>
      </c>
      <c r="S45">
        <f t="shared" si="6"/>
        <v>99302.34</v>
      </c>
      <c r="T45">
        <f t="shared" si="7"/>
        <v>0</v>
      </c>
      <c r="U45">
        <f t="shared" si="8"/>
        <v>417.44999999999993</v>
      </c>
      <c r="V45">
        <f t="shared" si="9"/>
        <v>0</v>
      </c>
      <c r="W45">
        <f t="shared" si="10"/>
        <v>0</v>
      </c>
      <c r="X45">
        <f t="shared" si="11"/>
        <v>84406.99</v>
      </c>
      <c r="Y45">
        <f t="shared" si="12"/>
        <v>43693.03</v>
      </c>
      <c r="AA45">
        <v>0</v>
      </c>
      <c r="AB45">
        <f t="shared" si="13"/>
        <v>6319.473</v>
      </c>
      <c r="AC45">
        <f>(ES45)</f>
        <v>2164.08</v>
      </c>
      <c r="AD45">
        <f>((ET45*1.25))</f>
        <v>270.325</v>
      </c>
      <c r="AE45">
        <f>((EU45*1.25))</f>
        <v>54.0625</v>
      </c>
      <c r="AF45">
        <f>((EV45*1.15))</f>
        <v>3885.0679999999998</v>
      </c>
      <c r="AG45">
        <f>(AP45)</f>
        <v>0</v>
      </c>
      <c r="AH45">
        <f>((EW45*1.15))</f>
        <v>278.29999999999995</v>
      </c>
      <c r="AI45">
        <f>((EX45*1.25))</f>
        <v>0</v>
      </c>
      <c r="AJ45">
        <f>(AS45)</f>
        <v>0</v>
      </c>
      <c r="AK45">
        <v>5758.66</v>
      </c>
      <c r="AL45">
        <v>2164.08</v>
      </c>
      <c r="AM45">
        <v>216.26</v>
      </c>
      <c r="AN45">
        <v>43.25</v>
      </c>
      <c r="AO45">
        <v>3378.32</v>
      </c>
      <c r="AP45">
        <v>0</v>
      </c>
      <c r="AQ45">
        <v>242</v>
      </c>
      <c r="AR45">
        <v>0</v>
      </c>
      <c r="AS45">
        <v>0</v>
      </c>
      <c r="AT45">
        <v>85</v>
      </c>
      <c r="AU45">
        <v>44</v>
      </c>
      <c r="AV45">
        <v>1</v>
      </c>
      <c r="AW45">
        <v>1</v>
      </c>
      <c r="AX45">
        <v>1</v>
      </c>
      <c r="AY45">
        <v>1</v>
      </c>
      <c r="AZ45">
        <v>17.04</v>
      </c>
      <c r="BA45">
        <v>17.04</v>
      </c>
      <c r="BB45">
        <v>6.28</v>
      </c>
      <c r="BC45">
        <v>3.63</v>
      </c>
      <c r="BH45">
        <v>0</v>
      </c>
      <c r="BI45">
        <v>1</v>
      </c>
      <c r="BJ45" t="s">
        <v>108</v>
      </c>
      <c r="BM45">
        <v>113</v>
      </c>
      <c r="BN45">
        <v>0</v>
      </c>
      <c r="BO45" t="s">
        <v>106</v>
      </c>
      <c r="BP45">
        <v>1</v>
      </c>
      <c r="BQ45">
        <v>30</v>
      </c>
      <c r="BR45">
        <v>0</v>
      </c>
      <c r="BS45">
        <v>17.04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85</v>
      </c>
      <c r="CA45">
        <v>44</v>
      </c>
      <c r="CF45">
        <v>0</v>
      </c>
      <c r="CG45">
        <v>0</v>
      </c>
      <c r="CM45">
        <v>0</v>
      </c>
      <c r="CO45">
        <v>0</v>
      </c>
      <c r="CP45">
        <f t="shared" si="15"/>
        <v>113632.22</v>
      </c>
      <c r="CQ45">
        <f t="shared" si="16"/>
        <v>7855.6104</v>
      </c>
      <c r="CR45">
        <f t="shared" si="17"/>
        <v>1697.641</v>
      </c>
      <c r="CS45">
        <f t="shared" si="18"/>
        <v>921.2249999999999</v>
      </c>
      <c r="CT45">
        <f t="shared" si="19"/>
        <v>66201.55871999999</v>
      </c>
      <c r="CU45">
        <f t="shared" si="20"/>
        <v>0</v>
      </c>
      <c r="CV45">
        <f t="shared" si="21"/>
        <v>278.29999999999995</v>
      </c>
      <c r="CW45">
        <f t="shared" si="22"/>
        <v>0</v>
      </c>
      <c r="CX45">
        <f t="shared" si="23"/>
        <v>0</v>
      </c>
      <c r="CY45">
        <f t="shared" si="24"/>
        <v>84406.989</v>
      </c>
      <c r="CZ45">
        <f t="shared" si="25"/>
        <v>43693.0296</v>
      </c>
      <c r="DE45" t="s">
        <v>75</v>
      </c>
      <c r="DF45" t="s">
        <v>75</v>
      </c>
      <c r="DG45" t="s">
        <v>76</v>
      </c>
      <c r="DI45" t="s">
        <v>76</v>
      </c>
      <c r="DJ45" t="s">
        <v>75</v>
      </c>
      <c r="DN45">
        <v>100</v>
      </c>
      <c r="DO45">
        <v>64</v>
      </c>
      <c r="DP45">
        <v>1.025</v>
      </c>
      <c r="DQ45">
        <v>1</v>
      </c>
      <c r="DR45">
        <v>1</v>
      </c>
      <c r="DS45">
        <v>1</v>
      </c>
      <c r="DT45">
        <v>1</v>
      </c>
      <c r="DU45">
        <v>1005</v>
      </c>
      <c r="DV45" t="s">
        <v>14</v>
      </c>
      <c r="DW45" t="s">
        <v>14</v>
      </c>
      <c r="DX45">
        <v>100</v>
      </c>
      <c r="EE45">
        <v>19684662</v>
      </c>
      <c r="EF45">
        <v>30</v>
      </c>
      <c r="EG45" t="s">
        <v>33</v>
      </c>
      <c r="EH45">
        <v>0</v>
      </c>
      <c r="EJ45">
        <v>1</v>
      </c>
      <c r="EK45">
        <v>113</v>
      </c>
      <c r="EL45" t="s">
        <v>109</v>
      </c>
      <c r="EM45" t="s">
        <v>110</v>
      </c>
      <c r="EQ45">
        <v>64</v>
      </c>
      <c r="ER45">
        <v>5758.66</v>
      </c>
      <c r="ES45">
        <v>2164.08</v>
      </c>
      <c r="ET45">
        <v>216.26</v>
      </c>
      <c r="EU45">
        <v>43.25</v>
      </c>
      <c r="EV45">
        <v>3378.32</v>
      </c>
      <c r="EW45">
        <v>242</v>
      </c>
      <c r="EX45">
        <v>0</v>
      </c>
      <c r="EY45">
        <v>0</v>
      </c>
      <c r="EZ45">
        <v>0</v>
      </c>
      <c r="FQ45">
        <v>0</v>
      </c>
      <c r="FR45">
        <f t="shared" si="26"/>
        <v>0</v>
      </c>
      <c r="FS45">
        <v>0</v>
      </c>
      <c r="FX45">
        <v>85</v>
      </c>
      <c r="FY45">
        <v>44</v>
      </c>
    </row>
    <row r="46" spans="1:181" ht="12.75">
      <c r="A46">
        <v>18</v>
      </c>
      <c r="B46">
        <v>1</v>
      </c>
      <c r="C46">
        <v>62</v>
      </c>
      <c r="E46" t="s">
        <v>111</v>
      </c>
      <c r="F46" t="s">
        <v>112</v>
      </c>
      <c r="G46" t="s">
        <v>113</v>
      </c>
      <c r="H46" t="s">
        <v>22</v>
      </c>
      <c r="I46">
        <f>I45*J46</f>
        <v>150</v>
      </c>
      <c r="J46">
        <v>100</v>
      </c>
      <c r="O46">
        <f t="shared" si="2"/>
        <v>147524.7</v>
      </c>
      <c r="P46">
        <f t="shared" si="3"/>
        <v>147524.7</v>
      </c>
      <c r="Q46">
        <f t="shared" si="4"/>
        <v>0</v>
      </c>
      <c r="R46">
        <f t="shared" si="5"/>
        <v>0</v>
      </c>
      <c r="S46">
        <f t="shared" si="6"/>
        <v>0</v>
      </c>
      <c r="T46">
        <f t="shared" si="7"/>
        <v>0</v>
      </c>
      <c r="U46">
        <f t="shared" si="8"/>
        <v>0</v>
      </c>
      <c r="V46">
        <f t="shared" si="9"/>
        <v>0</v>
      </c>
      <c r="W46">
        <f t="shared" si="10"/>
        <v>0</v>
      </c>
      <c r="X46">
        <f t="shared" si="11"/>
        <v>0</v>
      </c>
      <c r="Y46">
        <f t="shared" si="12"/>
        <v>0</v>
      </c>
      <c r="AA46">
        <v>0</v>
      </c>
      <c r="AB46">
        <f t="shared" si="13"/>
        <v>79.7</v>
      </c>
      <c r="AC46">
        <f aca="true" t="shared" si="33" ref="AC46:AJ46">AL46</f>
        <v>79.7</v>
      </c>
      <c r="AD46">
        <f t="shared" si="33"/>
        <v>0</v>
      </c>
      <c r="AE46">
        <f t="shared" si="33"/>
        <v>0</v>
      </c>
      <c r="AF46">
        <f t="shared" si="33"/>
        <v>0</v>
      </c>
      <c r="AG46">
        <f t="shared" si="33"/>
        <v>0</v>
      </c>
      <c r="AH46">
        <f t="shared" si="33"/>
        <v>0</v>
      </c>
      <c r="AI46">
        <f t="shared" si="33"/>
        <v>0</v>
      </c>
      <c r="AJ46">
        <f t="shared" si="33"/>
        <v>0</v>
      </c>
      <c r="AK46">
        <v>79.7</v>
      </c>
      <c r="AL46">
        <v>79.7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12.34</v>
      </c>
      <c r="BH46">
        <v>3</v>
      </c>
      <c r="BI46">
        <v>1</v>
      </c>
      <c r="BJ46" t="s">
        <v>114</v>
      </c>
      <c r="BM46">
        <v>113</v>
      </c>
      <c r="BN46">
        <v>0</v>
      </c>
      <c r="BO46" t="s">
        <v>112</v>
      </c>
      <c r="BP46">
        <v>1</v>
      </c>
      <c r="BQ46">
        <v>30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0</v>
      </c>
      <c r="CA46">
        <v>0</v>
      </c>
      <c r="CF46">
        <v>0</v>
      </c>
      <c r="CG46">
        <v>0</v>
      </c>
      <c r="CM46">
        <v>0</v>
      </c>
      <c r="CO46">
        <v>0</v>
      </c>
      <c r="CP46">
        <f t="shared" si="15"/>
        <v>147524.7</v>
      </c>
      <c r="CQ46">
        <f t="shared" si="16"/>
        <v>983.498</v>
      </c>
      <c r="CR46">
        <f t="shared" si="17"/>
        <v>0</v>
      </c>
      <c r="CS46">
        <f t="shared" si="18"/>
        <v>0</v>
      </c>
      <c r="CT46">
        <f t="shared" si="19"/>
        <v>0</v>
      </c>
      <c r="CU46">
        <f t="shared" si="20"/>
        <v>0</v>
      </c>
      <c r="CV46">
        <f t="shared" si="21"/>
        <v>0</v>
      </c>
      <c r="CW46">
        <f t="shared" si="22"/>
        <v>0</v>
      </c>
      <c r="CX46">
        <f t="shared" si="23"/>
        <v>0</v>
      </c>
      <c r="CY46">
        <f t="shared" si="24"/>
        <v>0</v>
      </c>
      <c r="CZ46">
        <f t="shared" si="25"/>
        <v>0</v>
      </c>
      <c r="DN46">
        <v>100</v>
      </c>
      <c r="DO46">
        <v>64</v>
      </c>
      <c r="DP46">
        <v>1.025</v>
      </c>
      <c r="DQ46">
        <v>1</v>
      </c>
      <c r="DR46">
        <v>1</v>
      </c>
      <c r="DS46">
        <v>1</v>
      </c>
      <c r="DT46">
        <v>1</v>
      </c>
      <c r="DU46">
        <v>1005</v>
      </c>
      <c r="DV46" t="s">
        <v>22</v>
      </c>
      <c r="DW46" t="s">
        <v>22</v>
      </c>
      <c r="DX46">
        <v>1</v>
      </c>
      <c r="EE46">
        <v>19684662</v>
      </c>
      <c r="EF46">
        <v>30</v>
      </c>
      <c r="EG46" t="s">
        <v>33</v>
      </c>
      <c r="EH46">
        <v>0</v>
      </c>
      <c r="EJ46">
        <v>1</v>
      </c>
      <c r="EK46">
        <v>113</v>
      </c>
      <c r="EL46" t="s">
        <v>109</v>
      </c>
      <c r="EM46" t="s">
        <v>110</v>
      </c>
      <c r="EQ46">
        <v>0</v>
      </c>
      <c r="ER46">
        <v>79.7</v>
      </c>
      <c r="ES46">
        <v>79.7</v>
      </c>
      <c r="ET46">
        <v>0</v>
      </c>
      <c r="EU46">
        <v>0</v>
      </c>
      <c r="EV46">
        <v>0</v>
      </c>
      <c r="EW46">
        <v>0</v>
      </c>
      <c r="EX46">
        <v>0</v>
      </c>
      <c r="EZ46">
        <v>0</v>
      </c>
      <c r="FQ46">
        <v>0</v>
      </c>
      <c r="FR46">
        <f t="shared" si="26"/>
        <v>0</v>
      </c>
      <c r="FS46">
        <v>0</v>
      </c>
      <c r="FX46">
        <v>0</v>
      </c>
      <c r="FY46">
        <v>0</v>
      </c>
    </row>
    <row r="48" spans="1:43" ht="12.75">
      <c r="A48" s="2">
        <v>51</v>
      </c>
      <c r="B48" s="2">
        <f>B20</f>
        <v>1</v>
      </c>
      <c r="C48" s="2">
        <f>A20</f>
        <v>3</v>
      </c>
      <c r="D48" s="2">
        <f>ROW(A20)</f>
        <v>20</v>
      </c>
      <c r="E48" s="2"/>
      <c r="F48" s="2" t="str">
        <f>IF(F20&lt;&gt;"",F20,"")</f>
        <v>Новая локальная смета</v>
      </c>
      <c r="G48" s="2" t="str">
        <f>IF(G20&lt;&gt;"",G20,"")</f>
        <v>Новая локальная смета</v>
      </c>
      <c r="H48" s="2"/>
      <c r="I48" s="2"/>
      <c r="J48" s="2"/>
      <c r="K48" s="2"/>
      <c r="L48" s="2"/>
      <c r="M48" s="2"/>
      <c r="N48" s="2"/>
      <c r="O48" s="2">
        <f aca="true" t="shared" si="34" ref="O48:Y48">ROUND(AB48,2)</f>
        <v>474839.63</v>
      </c>
      <c r="P48" s="2">
        <f t="shared" si="34"/>
        <v>253277.18</v>
      </c>
      <c r="Q48" s="2">
        <f t="shared" si="34"/>
        <v>9339.21</v>
      </c>
      <c r="R48" s="2">
        <f t="shared" si="34"/>
        <v>3804.3</v>
      </c>
      <c r="S48" s="2">
        <f t="shared" si="34"/>
        <v>212223.24</v>
      </c>
      <c r="T48" s="2">
        <f t="shared" si="34"/>
        <v>0</v>
      </c>
      <c r="U48" s="2">
        <f t="shared" si="34"/>
        <v>931.62</v>
      </c>
      <c r="V48" s="2">
        <f t="shared" si="34"/>
        <v>0</v>
      </c>
      <c r="W48" s="2">
        <f t="shared" si="34"/>
        <v>0</v>
      </c>
      <c r="X48" s="2">
        <f t="shared" si="34"/>
        <v>166954.38</v>
      </c>
      <c r="Y48" s="2">
        <f t="shared" si="34"/>
        <v>93378.23</v>
      </c>
      <c r="Z48" s="2"/>
      <c r="AA48" s="2"/>
      <c r="AB48" s="2">
        <f>ROUND(SUMIF(AA24:AA46,"=0",O24:O46),2)</f>
        <v>474839.63</v>
      </c>
      <c r="AC48" s="2">
        <f>ROUND(SUMIF(AA24:AA46,"=0",P24:P46),2)</f>
        <v>253277.18</v>
      </c>
      <c r="AD48" s="2">
        <f>ROUND(SUMIF(AA24:AA46,"=0",Q24:Q46),2)</f>
        <v>9339.21</v>
      </c>
      <c r="AE48" s="2">
        <f>ROUND(SUMIF(AA24:AA46,"=0",R24:R46),2)</f>
        <v>3804.3</v>
      </c>
      <c r="AF48" s="2">
        <f>ROUND(SUMIF(AA24:AA46,"=0",S24:S46),2)</f>
        <v>212223.24</v>
      </c>
      <c r="AG48" s="2">
        <f>ROUND(SUMIF(AA24:AA46,"=0",T24:T46),2)</f>
        <v>0</v>
      </c>
      <c r="AH48" s="2">
        <f>ROUND(SUMIF(AA24:AA46,"=0",U24:U46),2)</f>
        <v>931.62</v>
      </c>
      <c r="AI48" s="2">
        <f>ROUND(SUMIF(AA24:AA46,"=0",V24:V46),2)</f>
        <v>0</v>
      </c>
      <c r="AJ48" s="2">
        <f>ROUND(SUMIF(AA24:AA46,"=0",W24:W46),2)</f>
        <v>0</v>
      </c>
      <c r="AK48" s="2">
        <f>ROUND(SUMIF(AA24:AA46,"=0",X24:X46),2)</f>
        <v>166954.38</v>
      </c>
      <c r="AL48" s="2">
        <f>ROUND(SUMIF(AA24:AA46,"=0",Y24:Y46),2)</f>
        <v>93378.23</v>
      </c>
      <c r="AM48" s="2"/>
      <c r="AN48" s="2">
        <f>ROUND(AO48,2)</f>
        <v>0</v>
      </c>
      <c r="AO48" s="2">
        <f>ROUND(SUMIF(AA24:AA46,"=0",FQ24:FQ46),2)</f>
        <v>0</v>
      </c>
      <c r="AP48" s="2">
        <f>ROUND(AQ48,2)</f>
        <v>0</v>
      </c>
      <c r="AQ48" s="2">
        <f>ROUND(SUM(FR24:FR46),2)</f>
        <v>0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201</v>
      </c>
      <c r="F50" s="3">
        <f>Source!O48</f>
        <v>474839.63</v>
      </c>
      <c r="G50" s="3" t="s">
        <v>115</v>
      </c>
      <c r="H50" s="3" t="s">
        <v>116</v>
      </c>
      <c r="I50" s="3"/>
      <c r="J50" s="3"/>
      <c r="K50" s="3">
        <v>201</v>
      </c>
      <c r="L50" s="3">
        <v>1</v>
      </c>
      <c r="M50" s="3">
        <v>3</v>
      </c>
      <c r="N50" s="3" t="s">
        <v>2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202</v>
      </c>
      <c r="F51" s="3">
        <f>Source!P48</f>
        <v>253277.18</v>
      </c>
      <c r="G51" s="3" t="s">
        <v>117</v>
      </c>
      <c r="H51" s="3" t="s">
        <v>118</v>
      </c>
      <c r="I51" s="3"/>
      <c r="J51" s="3"/>
      <c r="K51" s="3">
        <v>202</v>
      </c>
      <c r="L51" s="3">
        <v>2</v>
      </c>
      <c r="M51" s="3">
        <v>3</v>
      </c>
      <c r="N51" s="3" t="s">
        <v>2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222</v>
      </c>
      <c r="F52" s="3">
        <f>Source!AN48</f>
        <v>0</v>
      </c>
      <c r="G52" s="3" t="s">
        <v>119</v>
      </c>
      <c r="H52" s="3" t="s">
        <v>120</v>
      </c>
      <c r="I52" s="3"/>
      <c r="J52" s="3"/>
      <c r="K52" s="3">
        <v>222</v>
      </c>
      <c r="L52" s="3">
        <v>3</v>
      </c>
      <c r="M52" s="3">
        <v>3</v>
      </c>
      <c r="N52" s="3" t="s">
        <v>2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216</v>
      </c>
      <c r="F53" s="3">
        <f>Source!AP48</f>
        <v>0</v>
      </c>
      <c r="G53" s="3" t="s">
        <v>121</v>
      </c>
      <c r="H53" s="3" t="s">
        <v>122</v>
      </c>
      <c r="I53" s="3"/>
      <c r="J53" s="3"/>
      <c r="K53" s="3">
        <v>216</v>
      </c>
      <c r="L53" s="3">
        <v>4</v>
      </c>
      <c r="M53" s="3">
        <v>3</v>
      </c>
      <c r="N53" s="3" t="s">
        <v>2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203</v>
      </c>
      <c r="F54" s="3">
        <f>Source!Q48</f>
        <v>9339.21</v>
      </c>
      <c r="G54" s="3" t="s">
        <v>123</v>
      </c>
      <c r="H54" s="3" t="s">
        <v>124</v>
      </c>
      <c r="I54" s="3"/>
      <c r="J54" s="3"/>
      <c r="K54" s="3">
        <v>203</v>
      </c>
      <c r="L54" s="3">
        <v>5</v>
      </c>
      <c r="M54" s="3">
        <v>3</v>
      </c>
      <c r="N54" s="3" t="s">
        <v>2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204</v>
      </c>
      <c r="F55" s="3">
        <f>Source!R48</f>
        <v>3804.3</v>
      </c>
      <c r="G55" s="3" t="s">
        <v>125</v>
      </c>
      <c r="H55" s="3" t="s">
        <v>126</v>
      </c>
      <c r="I55" s="3"/>
      <c r="J55" s="3"/>
      <c r="K55" s="3">
        <v>204</v>
      </c>
      <c r="L55" s="3">
        <v>6</v>
      </c>
      <c r="M55" s="3">
        <v>3</v>
      </c>
      <c r="N55" s="3" t="s">
        <v>2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205</v>
      </c>
      <c r="F56" s="3">
        <f>Source!S48</f>
        <v>212223.24</v>
      </c>
      <c r="G56" s="3" t="s">
        <v>127</v>
      </c>
      <c r="H56" s="3" t="s">
        <v>128</v>
      </c>
      <c r="I56" s="3"/>
      <c r="J56" s="3"/>
      <c r="K56" s="3">
        <v>205</v>
      </c>
      <c r="L56" s="3">
        <v>7</v>
      </c>
      <c r="M56" s="3">
        <v>3</v>
      </c>
      <c r="N56" s="3" t="s">
        <v>2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206</v>
      </c>
      <c r="F57" s="3">
        <f>Source!T48</f>
        <v>0</v>
      </c>
      <c r="G57" s="3" t="s">
        <v>129</v>
      </c>
      <c r="H57" s="3" t="s">
        <v>130</v>
      </c>
      <c r="I57" s="3"/>
      <c r="J57" s="3"/>
      <c r="K57" s="3">
        <v>206</v>
      </c>
      <c r="L57" s="3">
        <v>8</v>
      </c>
      <c r="M57" s="3">
        <v>3</v>
      </c>
      <c r="N57" s="3" t="s">
        <v>2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207</v>
      </c>
      <c r="F58" s="3">
        <f>Source!U48</f>
        <v>931.62</v>
      </c>
      <c r="G58" s="3" t="s">
        <v>131</v>
      </c>
      <c r="H58" s="3" t="s">
        <v>132</v>
      </c>
      <c r="I58" s="3"/>
      <c r="J58" s="3"/>
      <c r="K58" s="3">
        <v>207</v>
      </c>
      <c r="L58" s="3">
        <v>9</v>
      </c>
      <c r="M58" s="3">
        <v>3</v>
      </c>
      <c r="N58" s="3" t="s">
        <v>2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208</v>
      </c>
      <c r="F59" s="3">
        <f>Source!V48</f>
        <v>0</v>
      </c>
      <c r="G59" s="3" t="s">
        <v>133</v>
      </c>
      <c r="H59" s="3" t="s">
        <v>134</v>
      </c>
      <c r="I59" s="3"/>
      <c r="J59" s="3"/>
      <c r="K59" s="3">
        <v>208</v>
      </c>
      <c r="L59" s="3">
        <v>10</v>
      </c>
      <c r="M59" s="3">
        <v>3</v>
      </c>
      <c r="N59" s="3" t="s">
        <v>2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209</v>
      </c>
      <c r="F60" s="3">
        <f>Source!W48</f>
        <v>0</v>
      </c>
      <c r="G60" s="3" t="s">
        <v>135</v>
      </c>
      <c r="H60" s="3" t="s">
        <v>136</v>
      </c>
      <c r="I60" s="3"/>
      <c r="J60" s="3"/>
      <c r="K60" s="3">
        <v>209</v>
      </c>
      <c r="L60" s="3">
        <v>11</v>
      </c>
      <c r="M60" s="3">
        <v>3</v>
      </c>
      <c r="N60" s="3" t="s">
        <v>2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210</v>
      </c>
      <c r="F61" s="3">
        <f>Source!X48</f>
        <v>166954.38</v>
      </c>
      <c r="G61" s="3" t="s">
        <v>137</v>
      </c>
      <c r="H61" s="3" t="s">
        <v>138</v>
      </c>
      <c r="I61" s="3"/>
      <c r="J61" s="3"/>
      <c r="K61" s="3">
        <v>210</v>
      </c>
      <c r="L61" s="3">
        <v>12</v>
      </c>
      <c r="M61" s="3">
        <v>3</v>
      </c>
      <c r="N61" s="3" t="s">
        <v>2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211</v>
      </c>
      <c r="F62" s="3">
        <f>Source!Y48</f>
        <v>93378.23</v>
      </c>
      <c r="G62" s="3" t="s">
        <v>139</v>
      </c>
      <c r="H62" s="3" t="s">
        <v>140</v>
      </c>
      <c r="I62" s="3"/>
      <c r="J62" s="3"/>
      <c r="K62" s="3">
        <v>211</v>
      </c>
      <c r="L62" s="3">
        <v>13</v>
      </c>
      <c r="M62" s="3">
        <v>3</v>
      </c>
      <c r="N62" s="3" t="s">
        <v>2</v>
      </c>
    </row>
    <row r="64" spans="1:43" ht="12.75">
      <c r="A64" s="2">
        <v>51</v>
      </c>
      <c r="B64" s="2">
        <f>B12</f>
        <v>1</v>
      </c>
      <c r="C64" s="2">
        <f>A12</f>
        <v>1</v>
      </c>
      <c r="D64" s="2">
        <f>ROW(A12)</f>
        <v>12</v>
      </c>
      <c r="E64" s="2"/>
      <c r="F64" s="2" t="str">
        <f>IF(F12&lt;&gt;"",F12,"")</f>
        <v>Новый объект</v>
      </c>
      <c r="G64" s="2" t="str">
        <f>IF(G12&lt;&gt;"",G12,"")</f>
        <v>№ 186-23.06.16 Смета на сцену (Ольга Нурминен)</v>
      </c>
      <c r="H64" s="2"/>
      <c r="I64" s="2"/>
      <c r="J64" s="2"/>
      <c r="K64" s="2"/>
      <c r="L64" s="2"/>
      <c r="M64" s="2"/>
      <c r="N64" s="2"/>
      <c r="O64" s="2">
        <f aca="true" t="shared" si="35" ref="O64:Y64">ROUND(O48,2)</f>
        <v>474839.63</v>
      </c>
      <c r="P64" s="2">
        <f t="shared" si="35"/>
        <v>253277.18</v>
      </c>
      <c r="Q64" s="2">
        <f t="shared" si="35"/>
        <v>9339.21</v>
      </c>
      <c r="R64" s="2">
        <f t="shared" si="35"/>
        <v>3804.3</v>
      </c>
      <c r="S64" s="2">
        <f t="shared" si="35"/>
        <v>212223.24</v>
      </c>
      <c r="T64" s="2">
        <f t="shared" si="35"/>
        <v>0</v>
      </c>
      <c r="U64" s="2">
        <f t="shared" si="35"/>
        <v>931.62</v>
      </c>
      <c r="V64" s="2">
        <f t="shared" si="35"/>
        <v>0</v>
      </c>
      <c r="W64" s="2">
        <f t="shared" si="35"/>
        <v>0</v>
      </c>
      <c r="X64" s="2">
        <f t="shared" si="35"/>
        <v>166954.38</v>
      </c>
      <c r="Y64" s="2">
        <f t="shared" si="35"/>
        <v>93378.23</v>
      </c>
      <c r="Z64" s="2"/>
      <c r="AA64" s="2"/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/>
      <c r="AN64" s="2">
        <f>ROUND(AN48,2)</f>
        <v>0</v>
      </c>
      <c r="AO64" s="2">
        <v>0</v>
      </c>
      <c r="AP64" s="2">
        <f>ROUND(AP48,2)</f>
        <v>0</v>
      </c>
      <c r="AQ64" s="2">
        <v>0</v>
      </c>
    </row>
    <row r="66" spans="1:14" ht="12.75">
      <c r="A66" s="3">
        <v>50</v>
      </c>
      <c r="B66" s="3">
        <v>0</v>
      </c>
      <c r="C66" s="3">
        <v>0</v>
      </c>
      <c r="D66" s="3">
        <v>1</v>
      </c>
      <c r="E66" s="3">
        <v>201</v>
      </c>
      <c r="F66" s="3">
        <f>Source!O64</f>
        <v>474839.63</v>
      </c>
      <c r="G66" s="3" t="s">
        <v>115</v>
      </c>
      <c r="H66" s="3" t="s">
        <v>116</v>
      </c>
      <c r="I66" s="3"/>
      <c r="J66" s="3"/>
      <c r="K66" s="3">
        <v>201</v>
      </c>
      <c r="L66" s="3">
        <v>1</v>
      </c>
      <c r="M66" s="3">
        <v>3</v>
      </c>
      <c r="N66" s="3" t="s">
        <v>2</v>
      </c>
    </row>
    <row r="67" spans="1:14" ht="12.75">
      <c r="A67" s="3">
        <v>50</v>
      </c>
      <c r="B67" s="3">
        <v>0</v>
      </c>
      <c r="C67" s="3">
        <v>0</v>
      </c>
      <c r="D67" s="3">
        <v>1</v>
      </c>
      <c r="E67" s="3">
        <v>202</v>
      </c>
      <c r="F67" s="3">
        <f>Source!P64</f>
        <v>253277.18</v>
      </c>
      <c r="G67" s="3" t="s">
        <v>117</v>
      </c>
      <c r="H67" s="3" t="s">
        <v>118</v>
      </c>
      <c r="I67" s="3"/>
      <c r="J67" s="3"/>
      <c r="K67" s="3">
        <v>202</v>
      </c>
      <c r="L67" s="3">
        <v>2</v>
      </c>
      <c r="M67" s="3">
        <v>3</v>
      </c>
      <c r="N67" s="3" t="s">
        <v>2</v>
      </c>
    </row>
    <row r="68" spans="1:14" ht="12.75">
      <c r="A68" s="3">
        <v>50</v>
      </c>
      <c r="B68" s="3">
        <v>0</v>
      </c>
      <c r="C68" s="3">
        <v>0</v>
      </c>
      <c r="D68" s="3">
        <v>1</v>
      </c>
      <c r="E68" s="3">
        <v>222</v>
      </c>
      <c r="F68" s="3">
        <f>Source!AN64</f>
        <v>0</v>
      </c>
      <c r="G68" s="3" t="s">
        <v>119</v>
      </c>
      <c r="H68" s="3" t="s">
        <v>120</v>
      </c>
      <c r="I68" s="3"/>
      <c r="J68" s="3"/>
      <c r="K68" s="3">
        <v>222</v>
      </c>
      <c r="L68" s="3">
        <v>3</v>
      </c>
      <c r="M68" s="3">
        <v>3</v>
      </c>
      <c r="N68" s="3" t="s">
        <v>2</v>
      </c>
    </row>
    <row r="69" spans="1:14" ht="12.75">
      <c r="A69" s="3">
        <v>50</v>
      </c>
      <c r="B69" s="3">
        <v>0</v>
      </c>
      <c r="C69" s="3">
        <v>0</v>
      </c>
      <c r="D69" s="3">
        <v>1</v>
      </c>
      <c r="E69" s="3">
        <v>216</v>
      </c>
      <c r="F69" s="3">
        <f>Source!AP64</f>
        <v>0</v>
      </c>
      <c r="G69" s="3" t="s">
        <v>121</v>
      </c>
      <c r="H69" s="3" t="s">
        <v>122</v>
      </c>
      <c r="I69" s="3"/>
      <c r="J69" s="3"/>
      <c r="K69" s="3">
        <v>216</v>
      </c>
      <c r="L69" s="3">
        <v>4</v>
      </c>
      <c r="M69" s="3">
        <v>3</v>
      </c>
      <c r="N69" s="3" t="s">
        <v>2</v>
      </c>
    </row>
    <row r="70" spans="1:14" ht="12.75">
      <c r="A70" s="3">
        <v>50</v>
      </c>
      <c r="B70" s="3">
        <v>0</v>
      </c>
      <c r="C70" s="3">
        <v>0</v>
      </c>
      <c r="D70" s="3">
        <v>1</v>
      </c>
      <c r="E70" s="3">
        <v>203</v>
      </c>
      <c r="F70" s="3">
        <f>Source!Q64</f>
        <v>9339.21</v>
      </c>
      <c r="G70" s="3" t="s">
        <v>123</v>
      </c>
      <c r="H70" s="3" t="s">
        <v>124</v>
      </c>
      <c r="I70" s="3"/>
      <c r="J70" s="3"/>
      <c r="K70" s="3">
        <v>203</v>
      </c>
      <c r="L70" s="3">
        <v>5</v>
      </c>
      <c r="M70" s="3">
        <v>3</v>
      </c>
      <c r="N70" s="3" t="s">
        <v>2</v>
      </c>
    </row>
    <row r="71" spans="1:14" ht="12.75">
      <c r="A71" s="3">
        <v>50</v>
      </c>
      <c r="B71" s="3">
        <v>0</v>
      </c>
      <c r="C71" s="3">
        <v>0</v>
      </c>
      <c r="D71" s="3">
        <v>1</v>
      </c>
      <c r="E71" s="3">
        <v>204</v>
      </c>
      <c r="F71" s="3">
        <f>Source!R64</f>
        <v>3804.3</v>
      </c>
      <c r="G71" s="3" t="s">
        <v>125</v>
      </c>
      <c r="H71" s="3" t="s">
        <v>126</v>
      </c>
      <c r="I71" s="3"/>
      <c r="J71" s="3"/>
      <c r="K71" s="3">
        <v>204</v>
      </c>
      <c r="L71" s="3">
        <v>6</v>
      </c>
      <c r="M71" s="3">
        <v>3</v>
      </c>
      <c r="N71" s="3" t="s">
        <v>2</v>
      </c>
    </row>
    <row r="72" spans="1:14" ht="12.75">
      <c r="A72" s="3">
        <v>50</v>
      </c>
      <c r="B72" s="3">
        <v>0</v>
      </c>
      <c r="C72" s="3">
        <v>0</v>
      </c>
      <c r="D72" s="3">
        <v>1</v>
      </c>
      <c r="E72" s="3">
        <v>205</v>
      </c>
      <c r="F72" s="3">
        <f>Source!S64</f>
        <v>212223.24</v>
      </c>
      <c r="G72" s="3" t="s">
        <v>127</v>
      </c>
      <c r="H72" s="3" t="s">
        <v>128</v>
      </c>
      <c r="I72" s="3"/>
      <c r="J72" s="3"/>
      <c r="K72" s="3">
        <v>205</v>
      </c>
      <c r="L72" s="3">
        <v>7</v>
      </c>
      <c r="M72" s="3">
        <v>3</v>
      </c>
      <c r="N72" s="3" t="s">
        <v>2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206</v>
      </c>
      <c r="F73" s="3">
        <f>Source!T64</f>
        <v>0</v>
      </c>
      <c r="G73" s="3" t="s">
        <v>129</v>
      </c>
      <c r="H73" s="3" t="s">
        <v>130</v>
      </c>
      <c r="I73" s="3"/>
      <c r="J73" s="3"/>
      <c r="K73" s="3">
        <v>206</v>
      </c>
      <c r="L73" s="3">
        <v>8</v>
      </c>
      <c r="M73" s="3">
        <v>3</v>
      </c>
      <c r="N73" s="3" t="s">
        <v>2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207</v>
      </c>
      <c r="F74" s="3">
        <f>Source!U64</f>
        <v>931.62</v>
      </c>
      <c r="G74" s="3" t="s">
        <v>131</v>
      </c>
      <c r="H74" s="3" t="s">
        <v>132</v>
      </c>
      <c r="I74" s="3"/>
      <c r="J74" s="3"/>
      <c r="K74" s="3">
        <v>207</v>
      </c>
      <c r="L74" s="3">
        <v>9</v>
      </c>
      <c r="M74" s="3">
        <v>3</v>
      </c>
      <c r="N74" s="3" t="s">
        <v>2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208</v>
      </c>
      <c r="F75" s="3">
        <f>Source!V64</f>
        <v>0</v>
      </c>
      <c r="G75" s="3" t="s">
        <v>133</v>
      </c>
      <c r="H75" s="3" t="s">
        <v>134</v>
      </c>
      <c r="I75" s="3"/>
      <c r="J75" s="3"/>
      <c r="K75" s="3">
        <v>208</v>
      </c>
      <c r="L75" s="3">
        <v>10</v>
      </c>
      <c r="M75" s="3">
        <v>3</v>
      </c>
      <c r="N75" s="3" t="s">
        <v>2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209</v>
      </c>
      <c r="F76" s="3">
        <f>Source!W64</f>
        <v>0</v>
      </c>
      <c r="G76" s="3" t="s">
        <v>135</v>
      </c>
      <c r="H76" s="3" t="s">
        <v>136</v>
      </c>
      <c r="I76" s="3"/>
      <c r="J76" s="3"/>
      <c r="K76" s="3">
        <v>209</v>
      </c>
      <c r="L76" s="3">
        <v>11</v>
      </c>
      <c r="M76" s="3">
        <v>3</v>
      </c>
      <c r="N76" s="3" t="s">
        <v>2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210</v>
      </c>
      <c r="F77" s="3">
        <f>Source!X64</f>
        <v>166954.38</v>
      </c>
      <c r="G77" s="3" t="s">
        <v>137</v>
      </c>
      <c r="H77" s="3" t="s">
        <v>138</v>
      </c>
      <c r="I77" s="3"/>
      <c r="J77" s="3"/>
      <c r="K77" s="3">
        <v>210</v>
      </c>
      <c r="L77" s="3">
        <v>12</v>
      </c>
      <c r="M77" s="3">
        <v>3</v>
      </c>
      <c r="N77" s="3" t="s">
        <v>2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211</v>
      </c>
      <c r="F78" s="3">
        <f>Source!Y64</f>
        <v>93378.23</v>
      </c>
      <c r="G78" s="3" t="s">
        <v>139</v>
      </c>
      <c r="H78" s="3" t="s">
        <v>140</v>
      </c>
      <c r="I78" s="3"/>
      <c r="J78" s="3"/>
      <c r="K78" s="3">
        <v>211</v>
      </c>
      <c r="L78" s="3">
        <v>13</v>
      </c>
      <c r="M78" s="3">
        <v>3</v>
      </c>
      <c r="N78" s="3" t="s">
        <v>2</v>
      </c>
    </row>
    <row r="79" spans="1:14" ht="12.75">
      <c r="A79" s="3">
        <v>50</v>
      </c>
      <c r="B79" s="3">
        <v>1</v>
      </c>
      <c r="C79" s="3">
        <v>0</v>
      </c>
      <c r="D79" s="3">
        <v>2</v>
      </c>
      <c r="E79" s="3">
        <v>0</v>
      </c>
      <c r="F79" s="3">
        <f>ROUND(Source!F66+Source!F77+Source!F78+Source!F71*1.67,2)</f>
        <v>741525.42</v>
      </c>
      <c r="G79" s="3" t="s">
        <v>141</v>
      </c>
      <c r="H79" s="3" t="s">
        <v>141</v>
      </c>
      <c r="I79" s="3"/>
      <c r="J79" s="3"/>
      <c r="K79" s="3">
        <v>212</v>
      </c>
      <c r="L79" s="3">
        <v>14</v>
      </c>
      <c r="M79" s="3">
        <v>0</v>
      </c>
      <c r="N79" s="3" t="s">
        <v>2</v>
      </c>
    </row>
    <row r="80" spans="1:14" ht="12.75">
      <c r="A80" s="3">
        <v>50</v>
      </c>
      <c r="B80" s="3">
        <v>1</v>
      </c>
      <c r="C80" s="3">
        <v>0</v>
      </c>
      <c r="D80" s="3">
        <v>2</v>
      </c>
      <c r="E80" s="3">
        <v>0</v>
      </c>
      <c r="F80" s="3">
        <f>ROUND(Source!F79*0.18,2)</f>
        <v>133474.58</v>
      </c>
      <c r="G80" s="3" t="s">
        <v>142</v>
      </c>
      <c r="H80" s="3" t="s">
        <v>142</v>
      </c>
      <c r="I80" s="3"/>
      <c r="J80" s="3"/>
      <c r="K80" s="3">
        <v>212</v>
      </c>
      <c r="L80" s="3">
        <v>15</v>
      </c>
      <c r="M80" s="3">
        <v>0</v>
      </c>
      <c r="N80" s="3" t="s">
        <v>2</v>
      </c>
    </row>
    <row r="81" spans="1:14" ht="12.75">
      <c r="A81" s="3">
        <v>50</v>
      </c>
      <c r="B81" s="3">
        <v>1</v>
      </c>
      <c r="C81" s="3">
        <v>0</v>
      </c>
      <c r="D81" s="3">
        <v>2</v>
      </c>
      <c r="E81" s="3">
        <v>0</v>
      </c>
      <c r="F81" s="3">
        <f>ROUND(Source!F79+Source!F80,2)</f>
        <v>875000</v>
      </c>
      <c r="G81" s="3" t="s">
        <v>143</v>
      </c>
      <c r="H81" s="3" t="s">
        <v>143</v>
      </c>
      <c r="I81" s="3"/>
      <c r="J81" s="3"/>
      <c r="K81" s="3">
        <v>212</v>
      </c>
      <c r="L81" s="3">
        <v>16</v>
      </c>
      <c r="M81" s="3">
        <v>0</v>
      </c>
      <c r="N81" s="3" t="s">
        <v>2</v>
      </c>
    </row>
    <row r="85" spans="1:5" ht="12.75">
      <c r="A85">
        <v>65</v>
      </c>
      <c r="C85">
        <v>1</v>
      </c>
      <c r="D85">
        <v>0</v>
      </c>
      <c r="E85">
        <v>200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6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ROW(Source!A24)</f>
        <v>24</v>
      </c>
      <c r="B1">
        <v>20217081</v>
      </c>
      <c r="C1">
        <v>20217080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144</v>
      </c>
      <c r="L1">
        <v>1191</v>
      </c>
      <c r="Y1">
        <v>12.3</v>
      </c>
      <c r="AA1">
        <v>0</v>
      </c>
      <c r="AB1">
        <v>0</v>
      </c>
      <c r="AC1">
        <v>0</v>
      </c>
      <c r="AD1">
        <v>0</v>
      </c>
      <c r="AN1">
        <v>0</v>
      </c>
      <c r="AO1">
        <v>1</v>
      </c>
      <c r="AP1">
        <v>0</v>
      </c>
      <c r="AQ1">
        <v>0</v>
      </c>
      <c r="AR1">
        <v>0</v>
      </c>
      <c r="AT1">
        <v>12.3</v>
      </c>
      <c r="AV1">
        <v>1</v>
      </c>
      <c r="AW1">
        <v>2</v>
      </c>
      <c r="AX1">
        <v>20217081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ROW(Source!A24)</f>
        <v>24</v>
      </c>
      <c r="B2">
        <v>20217082</v>
      </c>
      <c r="C2">
        <v>20217080</v>
      </c>
      <c r="D2">
        <v>7159942</v>
      </c>
      <c r="E2">
        <v>7157832</v>
      </c>
      <c r="F2">
        <v>1</v>
      </c>
      <c r="G2">
        <v>7157832</v>
      </c>
      <c r="H2">
        <v>2</v>
      </c>
      <c r="I2" t="s">
        <v>144</v>
      </c>
      <c r="L2">
        <v>1344</v>
      </c>
      <c r="Y2">
        <v>0.58</v>
      </c>
      <c r="AA2">
        <v>0</v>
      </c>
      <c r="AB2">
        <v>1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0.58</v>
      </c>
      <c r="AV2">
        <v>0</v>
      </c>
      <c r="AW2">
        <v>2</v>
      </c>
      <c r="AX2">
        <v>20217082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ROW(Source!A24)</f>
        <v>24</v>
      </c>
      <c r="B3">
        <v>20217083</v>
      </c>
      <c r="C3">
        <v>20217080</v>
      </c>
      <c r="D3">
        <v>7182702</v>
      </c>
      <c r="E3">
        <v>7157832</v>
      </c>
      <c r="F3">
        <v>1</v>
      </c>
      <c r="G3">
        <v>7157832</v>
      </c>
      <c r="H3">
        <v>3</v>
      </c>
      <c r="I3" t="s">
        <v>144</v>
      </c>
      <c r="L3">
        <v>1348</v>
      </c>
      <c r="Y3">
        <v>0.94</v>
      </c>
      <c r="AA3">
        <v>0</v>
      </c>
      <c r="AB3">
        <v>0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0.94</v>
      </c>
      <c r="AV3">
        <v>0</v>
      </c>
      <c r="AW3">
        <v>2</v>
      </c>
      <c r="AX3">
        <v>20217083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ROW(Source!A25)</f>
        <v>25</v>
      </c>
      <c r="B4">
        <v>20216149</v>
      </c>
      <c r="C4">
        <v>20216148</v>
      </c>
      <c r="D4">
        <v>7157835</v>
      </c>
      <c r="E4">
        <v>7157832</v>
      </c>
      <c r="F4">
        <v>1</v>
      </c>
      <c r="G4">
        <v>7157832</v>
      </c>
      <c r="H4">
        <v>1</v>
      </c>
      <c r="I4" t="s">
        <v>144</v>
      </c>
      <c r="L4">
        <v>1191</v>
      </c>
      <c r="Y4">
        <v>0.6</v>
      </c>
      <c r="AA4">
        <v>0</v>
      </c>
      <c r="AB4">
        <v>0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0.6</v>
      </c>
      <c r="AV4">
        <v>1</v>
      </c>
      <c r="AW4">
        <v>2</v>
      </c>
      <c r="AX4">
        <v>20216149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ROW(Source!A26)</f>
        <v>26</v>
      </c>
      <c r="B5">
        <v>20213894</v>
      </c>
      <c r="C5">
        <v>20213893</v>
      </c>
      <c r="D5">
        <v>7157835</v>
      </c>
      <c r="E5">
        <v>7157832</v>
      </c>
      <c r="F5">
        <v>1</v>
      </c>
      <c r="G5">
        <v>7157832</v>
      </c>
      <c r="H5">
        <v>1</v>
      </c>
      <c r="I5" t="s">
        <v>144</v>
      </c>
      <c r="L5">
        <v>1191</v>
      </c>
      <c r="Y5">
        <v>104.64999999999999</v>
      </c>
      <c r="AA5">
        <v>0</v>
      </c>
      <c r="AB5">
        <v>0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91</v>
      </c>
      <c r="AU5" t="s">
        <v>32</v>
      </c>
      <c r="AV5">
        <v>1</v>
      </c>
      <c r="AW5">
        <v>2</v>
      </c>
      <c r="AX5">
        <v>20213894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ROW(Source!A26)</f>
        <v>26</v>
      </c>
      <c r="B6">
        <v>20213900</v>
      </c>
      <c r="C6">
        <v>20213893</v>
      </c>
      <c r="D6">
        <v>7159942</v>
      </c>
      <c r="E6">
        <v>7157832</v>
      </c>
      <c r="F6">
        <v>1</v>
      </c>
      <c r="G6">
        <v>7157832</v>
      </c>
      <c r="H6">
        <v>2</v>
      </c>
      <c r="I6" t="s">
        <v>144</v>
      </c>
      <c r="L6">
        <v>1344</v>
      </c>
      <c r="Y6">
        <v>46.525</v>
      </c>
      <c r="AA6">
        <v>0</v>
      </c>
      <c r="AB6">
        <v>1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37.22</v>
      </c>
      <c r="AU6" t="s">
        <v>31</v>
      </c>
      <c r="AV6">
        <v>0</v>
      </c>
      <c r="AW6">
        <v>2</v>
      </c>
      <c r="AX6">
        <v>20213900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ROW(Source!A26)</f>
        <v>26</v>
      </c>
      <c r="B7">
        <v>20213895</v>
      </c>
      <c r="C7">
        <v>20213893</v>
      </c>
      <c r="D7">
        <v>7231214</v>
      </c>
      <c r="E7">
        <v>1</v>
      </c>
      <c r="F7">
        <v>1</v>
      </c>
      <c r="G7">
        <v>7157832</v>
      </c>
      <c r="H7">
        <v>2</v>
      </c>
      <c r="I7" t="s">
        <v>144</v>
      </c>
      <c r="L7">
        <v>1368</v>
      </c>
      <c r="Y7">
        <v>34.125</v>
      </c>
      <c r="AA7">
        <v>0</v>
      </c>
      <c r="AB7">
        <v>6.22</v>
      </c>
      <c r="AC7">
        <v>0.29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27.3</v>
      </c>
      <c r="AU7" t="s">
        <v>31</v>
      </c>
      <c r="AV7">
        <v>0</v>
      </c>
      <c r="AW7">
        <v>2</v>
      </c>
      <c r="AX7">
        <v>20213895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ROW(Source!A26)</f>
        <v>26</v>
      </c>
      <c r="B8">
        <v>20213896</v>
      </c>
      <c r="C8">
        <v>20213893</v>
      </c>
      <c r="D8">
        <v>7231216</v>
      </c>
      <c r="E8">
        <v>1</v>
      </c>
      <c r="F8">
        <v>1</v>
      </c>
      <c r="G8">
        <v>7157832</v>
      </c>
      <c r="H8">
        <v>2</v>
      </c>
      <c r="I8" t="s">
        <v>144</v>
      </c>
      <c r="L8">
        <v>1368</v>
      </c>
      <c r="Y8">
        <v>1.25</v>
      </c>
      <c r="AA8">
        <v>0</v>
      </c>
      <c r="AB8">
        <v>1.09</v>
      </c>
      <c r="AC8">
        <v>0.09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1</v>
      </c>
      <c r="AU8" t="s">
        <v>31</v>
      </c>
      <c r="AV8">
        <v>0</v>
      </c>
      <c r="AW8">
        <v>2</v>
      </c>
      <c r="AX8">
        <v>20213896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ROW(Source!A26)</f>
        <v>26</v>
      </c>
      <c r="B9">
        <v>20213897</v>
      </c>
      <c r="C9">
        <v>20213893</v>
      </c>
      <c r="D9">
        <v>7231457</v>
      </c>
      <c r="E9">
        <v>1</v>
      </c>
      <c r="F9">
        <v>1</v>
      </c>
      <c r="G9">
        <v>7157832</v>
      </c>
      <c r="H9">
        <v>2</v>
      </c>
      <c r="I9" t="s">
        <v>144</v>
      </c>
      <c r="L9">
        <v>1368</v>
      </c>
      <c r="Y9">
        <v>1.375</v>
      </c>
      <c r="AA9">
        <v>0</v>
      </c>
      <c r="AB9">
        <v>0.68</v>
      </c>
      <c r="AC9">
        <v>0.04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1.1</v>
      </c>
      <c r="AU9" t="s">
        <v>31</v>
      </c>
      <c r="AV9">
        <v>0</v>
      </c>
      <c r="AW9">
        <v>2</v>
      </c>
      <c r="AX9">
        <v>20213897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ROW(Source!A26)</f>
        <v>26</v>
      </c>
      <c r="B10">
        <v>20213898</v>
      </c>
      <c r="C10">
        <v>20213893</v>
      </c>
      <c r="D10">
        <v>7231445</v>
      </c>
      <c r="E10">
        <v>1</v>
      </c>
      <c r="F10">
        <v>1</v>
      </c>
      <c r="G10">
        <v>7157832</v>
      </c>
      <c r="H10">
        <v>2</v>
      </c>
      <c r="I10" t="s">
        <v>144</v>
      </c>
      <c r="L10">
        <v>1368</v>
      </c>
      <c r="Y10">
        <v>0.375</v>
      </c>
      <c r="AA10">
        <v>0</v>
      </c>
      <c r="AB10">
        <v>2.36</v>
      </c>
      <c r="AC10">
        <v>0.1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0.3</v>
      </c>
      <c r="AU10" t="s">
        <v>31</v>
      </c>
      <c r="AV10">
        <v>0</v>
      </c>
      <c r="AW10">
        <v>2</v>
      </c>
      <c r="AX10">
        <v>20213898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ROW(Source!A26)</f>
        <v>26</v>
      </c>
      <c r="B11">
        <v>20213899</v>
      </c>
      <c r="C11">
        <v>20213893</v>
      </c>
      <c r="D11">
        <v>7231498</v>
      </c>
      <c r="E11">
        <v>1</v>
      </c>
      <c r="F11">
        <v>1</v>
      </c>
      <c r="G11">
        <v>7157832</v>
      </c>
      <c r="H11">
        <v>2</v>
      </c>
      <c r="I11" t="s">
        <v>144</v>
      </c>
      <c r="L11">
        <v>1368</v>
      </c>
      <c r="Y11">
        <v>1.05</v>
      </c>
      <c r="AA11">
        <v>0</v>
      </c>
      <c r="AB11">
        <v>18.31</v>
      </c>
      <c r="AC11">
        <v>13.46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0.84</v>
      </c>
      <c r="AU11" t="s">
        <v>31</v>
      </c>
      <c r="AV11">
        <v>0</v>
      </c>
      <c r="AW11">
        <v>2</v>
      </c>
      <c r="AX11">
        <v>20213899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ROW(Source!A26)</f>
        <v>26</v>
      </c>
      <c r="B12">
        <v>20213902</v>
      </c>
      <c r="C12">
        <v>20213893</v>
      </c>
      <c r="D12">
        <v>7158474</v>
      </c>
      <c r="E12">
        <v>7157832</v>
      </c>
      <c r="F12">
        <v>1</v>
      </c>
      <c r="G12">
        <v>7157832</v>
      </c>
      <c r="H12">
        <v>3</v>
      </c>
      <c r="I12" t="s">
        <v>145</v>
      </c>
      <c r="K12" t="s">
        <v>146</v>
      </c>
      <c r="L12">
        <v>1348</v>
      </c>
      <c r="N12">
        <v>1009</v>
      </c>
      <c r="O12" t="s">
        <v>29</v>
      </c>
      <c r="P12" t="s">
        <v>29</v>
      </c>
      <c r="Q12">
        <v>1000</v>
      </c>
      <c r="Y12">
        <v>1.032</v>
      </c>
      <c r="AA12">
        <v>0</v>
      </c>
      <c r="AB12">
        <v>0</v>
      </c>
      <c r="AC12">
        <v>0</v>
      </c>
      <c r="AD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T12">
        <v>1.032</v>
      </c>
      <c r="AV12">
        <v>0</v>
      </c>
      <c r="AW12">
        <v>2</v>
      </c>
      <c r="AX12">
        <v>20213902</v>
      </c>
      <c r="AY12">
        <v>1</v>
      </c>
      <c r="AZ12">
        <v>0</v>
      </c>
      <c r="BA12">
        <v>13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ROW(Source!A26)</f>
        <v>26</v>
      </c>
      <c r="B13">
        <v>20213903</v>
      </c>
      <c r="C13">
        <v>20213893</v>
      </c>
      <c r="D13">
        <v>7233230</v>
      </c>
      <c r="E13">
        <v>1</v>
      </c>
      <c r="F13">
        <v>1</v>
      </c>
      <c r="G13">
        <v>7157832</v>
      </c>
      <c r="H13">
        <v>3</v>
      </c>
      <c r="I13" t="s">
        <v>144</v>
      </c>
      <c r="L13">
        <v>1348</v>
      </c>
      <c r="Y13">
        <v>0.0215</v>
      </c>
      <c r="AA13">
        <v>7191.81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0.0215</v>
      </c>
      <c r="AV13">
        <v>0</v>
      </c>
      <c r="AW13">
        <v>2</v>
      </c>
      <c r="AX13">
        <v>20213903</v>
      </c>
      <c r="AY13">
        <v>1</v>
      </c>
      <c r="AZ13">
        <v>0</v>
      </c>
      <c r="BA13">
        <v>14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ROW(Source!A26)</f>
        <v>26</v>
      </c>
      <c r="B14">
        <v>20215295</v>
      </c>
      <c r="C14">
        <v>20213893</v>
      </c>
      <c r="D14">
        <v>7233905</v>
      </c>
      <c r="E14">
        <v>1</v>
      </c>
      <c r="F14">
        <v>1</v>
      </c>
      <c r="G14">
        <v>7157832</v>
      </c>
      <c r="H14">
        <v>3</v>
      </c>
      <c r="I14" t="s">
        <v>37</v>
      </c>
      <c r="J14" t="s">
        <v>39</v>
      </c>
      <c r="K14" t="s">
        <v>38</v>
      </c>
      <c r="L14">
        <v>1348</v>
      </c>
      <c r="N14">
        <v>1009</v>
      </c>
      <c r="O14" t="s">
        <v>29</v>
      </c>
      <c r="P14" t="s">
        <v>29</v>
      </c>
      <c r="Q14">
        <v>1000</v>
      </c>
      <c r="Y14">
        <v>0.710116</v>
      </c>
      <c r="AA14">
        <v>11666.85</v>
      </c>
      <c r="AB14">
        <v>0</v>
      </c>
      <c r="AC14">
        <v>0</v>
      </c>
      <c r="AD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T14">
        <v>0.710116</v>
      </c>
      <c r="AV14">
        <v>0</v>
      </c>
      <c r="AW14">
        <v>1</v>
      </c>
      <c r="AX14">
        <v>-1</v>
      </c>
      <c r="AY14">
        <v>0</v>
      </c>
      <c r="AZ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ROW(Source!A26)</f>
        <v>26</v>
      </c>
      <c r="B15">
        <v>20215299</v>
      </c>
      <c r="C15">
        <v>20213893</v>
      </c>
      <c r="D15">
        <v>7233943</v>
      </c>
      <c r="E15">
        <v>1</v>
      </c>
      <c r="F15">
        <v>1</v>
      </c>
      <c r="G15">
        <v>7157832</v>
      </c>
      <c r="H15">
        <v>3</v>
      </c>
      <c r="I15" t="s">
        <v>45</v>
      </c>
      <c r="J15" t="s">
        <v>47</v>
      </c>
      <c r="K15" t="s">
        <v>46</v>
      </c>
      <c r="L15">
        <v>1348</v>
      </c>
      <c r="N15">
        <v>1009</v>
      </c>
      <c r="O15" t="s">
        <v>29</v>
      </c>
      <c r="P15" t="s">
        <v>29</v>
      </c>
      <c r="Q15">
        <v>1000</v>
      </c>
      <c r="Y15">
        <v>0.109212</v>
      </c>
      <c r="AA15">
        <v>11966.52</v>
      </c>
      <c r="AB15">
        <v>0</v>
      </c>
      <c r="AC15">
        <v>0</v>
      </c>
      <c r="AD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T15">
        <v>0.109212</v>
      </c>
      <c r="AV15">
        <v>0</v>
      </c>
      <c r="AW15">
        <v>1</v>
      </c>
      <c r="AX15">
        <v>-1</v>
      </c>
      <c r="AY15">
        <v>0</v>
      </c>
      <c r="AZ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ROW(Source!A26)</f>
        <v>26</v>
      </c>
      <c r="B16">
        <v>20215297</v>
      </c>
      <c r="C16">
        <v>20213893</v>
      </c>
      <c r="D16">
        <v>7233978</v>
      </c>
      <c r="E16">
        <v>1</v>
      </c>
      <c r="F16">
        <v>1</v>
      </c>
      <c r="G16">
        <v>7157832</v>
      </c>
      <c r="H16">
        <v>3</v>
      </c>
      <c r="I16" t="s">
        <v>41</v>
      </c>
      <c r="J16" t="s">
        <v>43</v>
      </c>
      <c r="K16" t="s">
        <v>42</v>
      </c>
      <c r="L16">
        <v>1348</v>
      </c>
      <c r="N16">
        <v>1009</v>
      </c>
      <c r="O16" t="s">
        <v>29</v>
      </c>
      <c r="P16" t="s">
        <v>29</v>
      </c>
      <c r="Q16">
        <v>1000</v>
      </c>
      <c r="Y16">
        <v>0.214987</v>
      </c>
      <c r="AA16">
        <v>11604.4</v>
      </c>
      <c r="AB16">
        <v>0</v>
      </c>
      <c r="AC16">
        <v>0</v>
      </c>
      <c r="AD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T16">
        <v>0.214987</v>
      </c>
      <c r="AV16">
        <v>0</v>
      </c>
      <c r="AW16">
        <v>1</v>
      </c>
      <c r="AX16">
        <v>-1</v>
      </c>
      <c r="AY16">
        <v>0</v>
      </c>
      <c r="AZ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ROW(Source!A26)</f>
        <v>26</v>
      </c>
      <c r="B17">
        <v>20213911</v>
      </c>
      <c r="C17">
        <v>20213893</v>
      </c>
      <c r="D17">
        <v>7232095</v>
      </c>
      <c r="E17">
        <v>1</v>
      </c>
      <c r="F17">
        <v>1</v>
      </c>
      <c r="G17">
        <v>7157832</v>
      </c>
      <c r="H17">
        <v>3</v>
      </c>
      <c r="I17" t="s">
        <v>147</v>
      </c>
      <c r="J17" t="s">
        <v>148</v>
      </c>
      <c r="K17" t="s">
        <v>149</v>
      </c>
      <c r="L17">
        <v>1339</v>
      </c>
      <c r="N17">
        <v>1007</v>
      </c>
      <c r="O17" t="s">
        <v>150</v>
      </c>
      <c r="P17" t="s">
        <v>150</v>
      </c>
      <c r="Q17">
        <v>1</v>
      </c>
      <c r="Y17">
        <v>2.6</v>
      </c>
      <c r="AA17">
        <v>5.91</v>
      </c>
      <c r="AB17">
        <v>0</v>
      </c>
      <c r="AC17">
        <v>0</v>
      </c>
      <c r="AD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T17">
        <v>2.6</v>
      </c>
      <c r="AV17">
        <v>0</v>
      </c>
      <c r="AW17">
        <v>1</v>
      </c>
      <c r="AX17">
        <v>-1</v>
      </c>
      <c r="AY17">
        <v>0</v>
      </c>
      <c r="AZ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ROW(Source!A26)</f>
        <v>26</v>
      </c>
      <c r="B18">
        <v>20213909</v>
      </c>
      <c r="C18">
        <v>20213893</v>
      </c>
      <c r="D18">
        <v>7232664</v>
      </c>
      <c r="E18">
        <v>1</v>
      </c>
      <c r="F18">
        <v>1</v>
      </c>
      <c r="G18">
        <v>7157832</v>
      </c>
      <c r="H18">
        <v>3</v>
      </c>
      <c r="I18" t="s">
        <v>151</v>
      </c>
      <c r="J18" t="s">
        <v>152</v>
      </c>
      <c r="K18" t="s">
        <v>153</v>
      </c>
      <c r="L18">
        <v>1339</v>
      </c>
      <c r="N18">
        <v>1007</v>
      </c>
      <c r="O18" t="s">
        <v>150</v>
      </c>
      <c r="P18" t="s">
        <v>150</v>
      </c>
      <c r="Q18">
        <v>1</v>
      </c>
      <c r="Y18">
        <v>0.5</v>
      </c>
      <c r="AA18">
        <v>5.67</v>
      </c>
      <c r="AB18">
        <v>0</v>
      </c>
      <c r="AC18">
        <v>0</v>
      </c>
      <c r="AD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T18">
        <v>0.5</v>
      </c>
      <c r="AV18">
        <v>0</v>
      </c>
      <c r="AW18">
        <v>1</v>
      </c>
      <c r="AX18">
        <v>-1</v>
      </c>
      <c r="AY18">
        <v>0</v>
      </c>
      <c r="AZ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ROW(Source!A30)</f>
        <v>30</v>
      </c>
      <c r="B19">
        <v>20214205</v>
      </c>
      <c r="C19">
        <v>20214204</v>
      </c>
      <c r="D19">
        <v>7157835</v>
      </c>
      <c r="E19">
        <v>7157832</v>
      </c>
      <c r="F19">
        <v>1</v>
      </c>
      <c r="G19">
        <v>7157832</v>
      </c>
      <c r="H19">
        <v>1</v>
      </c>
      <c r="I19" t="s">
        <v>144</v>
      </c>
      <c r="L19">
        <v>1191</v>
      </c>
      <c r="Y19">
        <v>45.482499999999995</v>
      </c>
      <c r="AA19">
        <v>0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39.55</v>
      </c>
      <c r="AU19" t="s">
        <v>32</v>
      </c>
      <c r="AV19">
        <v>1</v>
      </c>
      <c r="AW19">
        <v>2</v>
      </c>
      <c r="AX19">
        <v>20214205</v>
      </c>
      <c r="AY19">
        <v>1</v>
      </c>
      <c r="AZ19">
        <v>0</v>
      </c>
      <c r="BA19">
        <v>16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ROW(Source!A30)</f>
        <v>30</v>
      </c>
      <c r="B20">
        <v>20214206</v>
      </c>
      <c r="C20">
        <v>20214204</v>
      </c>
      <c r="D20">
        <v>7159942</v>
      </c>
      <c r="E20">
        <v>7157832</v>
      </c>
      <c r="F20">
        <v>1</v>
      </c>
      <c r="G20">
        <v>7157832</v>
      </c>
      <c r="H20">
        <v>2</v>
      </c>
      <c r="I20" t="s">
        <v>144</v>
      </c>
      <c r="L20">
        <v>1344</v>
      </c>
      <c r="Y20">
        <v>46.8125</v>
      </c>
      <c r="AA20">
        <v>0</v>
      </c>
      <c r="AB20">
        <v>1</v>
      </c>
      <c r="AC20">
        <v>0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37.45</v>
      </c>
      <c r="AU20" t="s">
        <v>31</v>
      </c>
      <c r="AV20">
        <v>0</v>
      </c>
      <c r="AW20">
        <v>2</v>
      </c>
      <c r="AX20">
        <v>20214206</v>
      </c>
      <c r="AY20">
        <v>1</v>
      </c>
      <c r="AZ20">
        <v>0</v>
      </c>
      <c r="BA20">
        <v>17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ROW(Source!A30)</f>
        <v>30</v>
      </c>
      <c r="B21">
        <v>20214209</v>
      </c>
      <c r="C21">
        <v>20214204</v>
      </c>
      <c r="D21">
        <v>7182707</v>
      </c>
      <c r="E21">
        <v>7157832</v>
      </c>
      <c r="F21">
        <v>1</v>
      </c>
      <c r="G21">
        <v>7157832</v>
      </c>
      <c r="H21">
        <v>3</v>
      </c>
      <c r="I21" t="s">
        <v>144</v>
      </c>
      <c r="L21">
        <v>1344</v>
      </c>
      <c r="Y21">
        <v>39.48</v>
      </c>
      <c r="AA21">
        <v>1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39.48</v>
      </c>
      <c r="AV21">
        <v>0</v>
      </c>
      <c r="AW21">
        <v>2</v>
      </c>
      <c r="AX21">
        <v>20214209</v>
      </c>
      <c r="AY21">
        <v>1</v>
      </c>
      <c r="AZ21">
        <v>0</v>
      </c>
      <c r="BA21">
        <v>18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ROW(Source!A30)</f>
        <v>30</v>
      </c>
      <c r="B22">
        <v>20214207</v>
      </c>
      <c r="C22">
        <v>20214204</v>
      </c>
      <c r="D22">
        <v>7237725</v>
      </c>
      <c r="E22">
        <v>1</v>
      </c>
      <c r="F22">
        <v>1</v>
      </c>
      <c r="G22">
        <v>7157832</v>
      </c>
      <c r="H22">
        <v>3</v>
      </c>
      <c r="I22" t="s">
        <v>144</v>
      </c>
      <c r="L22">
        <v>1348</v>
      </c>
      <c r="Y22">
        <v>0.0002</v>
      </c>
      <c r="AA22">
        <v>12654.07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0.0002</v>
      </c>
      <c r="AV22">
        <v>0</v>
      </c>
      <c r="AW22">
        <v>2</v>
      </c>
      <c r="AX22">
        <v>20214207</v>
      </c>
      <c r="AY22">
        <v>1</v>
      </c>
      <c r="AZ22">
        <v>0</v>
      </c>
      <c r="BA22">
        <v>19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ROW(Source!A30)</f>
        <v>30</v>
      </c>
      <c r="B23">
        <v>20214208</v>
      </c>
      <c r="C23">
        <v>20214204</v>
      </c>
      <c r="D23">
        <v>7174410</v>
      </c>
      <c r="E23">
        <v>7157832</v>
      </c>
      <c r="F23">
        <v>1</v>
      </c>
      <c r="G23">
        <v>7157832</v>
      </c>
      <c r="H23">
        <v>3</v>
      </c>
      <c r="I23" t="s">
        <v>154</v>
      </c>
      <c r="K23" t="s">
        <v>155</v>
      </c>
      <c r="L23">
        <v>1348</v>
      </c>
      <c r="N23">
        <v>1009</v>
      </c>
      <c r="O23" t="s">
        <v>29</v>
      </c>
      <c r="P23" t="s">
        <v>29</v>
      </c>
      <c r="Q23">
        <v>1000</v>
      </c>
      <c r="Y23">
        <v>1</v>
      </c>
      <c r="AA23">
        <v>0</v>
      </c>
      <c r="AB23">
        <v>0</v>
      </c>
      <c r="AC23">
        <v>0</v>
      </c>
      <c r="AD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T23">
        <v>1</v>
      </c>
      <c r="AV23">
        <v>0</v>
      </c>
      <c r="AW23">
        <v>2</v>
      </c>
      <c r="AX23">
        <v>20214208</v>
      </c>
      <c r="AY23">
        <v>1</v>
      </c>
      <c r="AZ23">
        <v>0</v>
      </c>
      <c r="BA23">
        <v>20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ROW(Source!A31)</f>
        <v>31</v>
      </c>
      <c r="B24">
        <v>20215235</v>
      </c>
      <c r="C24">
        <v>20215234</v>
      </c>
      <c r="D24">
        <v>7157835</v>
      </c>
      <c r="E24">
        <v>7157832</v>
      </c>
      <c r="F24">
        <v>1</v>
      </c>
      <c r="G24">
        <v>7157832</v>
      </c>
      <c r="H24">
        <v>1</v>
      </c>
      <c r="I24" t="s">
        <v>144</v>
      </c>
      <c r="L24">
        <v>1191</v>
      </c>
      <c r="Y24">
        <v>6.106499999999999</v>
      </c>
      <c r="AA24">
        <v>0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5.31</v>
      </c>
      <c r="AU24" t="s">
        <v>32</v>
      </c>
      <c r="AV24">
        <v>1</v>
      </c>
      <c r="AW24">
        <v>2</v>
      </c>
      <c r="AX24">
        <v>20215235</v>
      </c>
      <c r="AY24">
        <v>1</v>
      </c>
      <c r="AZ24">
        <v>0</v>
      </c>
      <c r="BA24">
        <v>21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ROW(Source!A31)</f>
        <v>31</v>
      </c>
      <c r="B25">
        <v>20215237</v>
      </c>
      <c r="C25">
        <v>20215234</v>
      </c>
      <c r="D25">
        <v>7159942</v>
      </c>
      <c r="E25">
        <v>7157832</v>
      </c>
      <c r="F25">
        <v>1</v>
      </c>
      <c r="G25">
        <v>7157832</v>
      </c>
      <c r="H25">
        <v>2</v>
      </c>
      <c r="I25" t="s">
        <v>144</v>
      </c>
      <c r="L25">
        <v>1344</v>
      </c>
      <c r="Y25">
        <v>1.8625</v>
      </c>
      <c r="AA25">
        <v>0</v>
      </c>
      <c r="AB25">
        <v>1</v>
      </c>
      <c r="AC25">
        <v>0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1.49</v>
      </c>
      <c r="AU25" t="s">
        <v>31</v>
      </c>
      <c r="AV25">
        <v>0</v>
      </c>
      <c r="AW25">
        <v>2</v>
      </c>
      <c r="AX25">
        <v>20215237</v>
      </c>
      <c r="AY25">
        <v>1</v>
      </c>
      <c r="AZ25">
        <v>0</v>
      </c>
      <c r="BA25">
        <v>22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ROW(Source!A31)</f>
        <v>31</v>
      </c>
      <c r="B26">
        <v>20215236</v>
      </c>
      <c r="C26">
        <v>20215234</v>
      </c>
      <c r="D26">
        <v>7231134</v>
      </c>
      <c r="E26">
        <v>1</v>
      </c>
      <c r="F26">
        <v>1</v>
      </c>
      <c r="G26">
        <v>7157832</v>
      </c>
      <c r="H26">
        <v>2</v>
      </c>
      <c r="I26" t="s">
        <v>144</v>
      </c>
      <c r="L26">
        <v>1368</v>
      </c>
      <c r="Y26">
        <v>1.4000000000000001</v>
      </c>
      <c r="AA26">
        <v>0</v>
      </c>
      <c r="AB26">
        <v>17.32</v>
      </c>
      <c r="AC26">
        <v>1.36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1.12</v>
      </c>
      <c r="AU26" t="s">
        <v>31</v>
      </c>
      <c r="AV26">
        <v>0</v>
      </c>
      <c r="AW26">
        <v>2</v>
      </c>
      <c r="AX26">
        <v>20215236</v>
      </c>
      <c r="AY26">
        <v>1</v>
      </c>
      <c r="AZ26">
        <v>0</v>
      </c>
      <c r="BA26">
        <v>23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ROW(Source!A31)</f>
        <v>31</v>
      </c>
      <c r="B27">
        <v>20215242</v>
      </c>
      <c r="C27">
        <v>20215234</v>
      </c>
      <c r="D27">
        <v>7231876</v>
      </c>
      <c r="E27">
        <v>1</v>
      </c>
      <c r="F27">
        <v>1</v>
      </c>
      <c r="G27">
        <v>7157832</v>
      </c>
      <c r="H27">
        <v>3</v>
      </c>
      <c r="I27" t="s">
        <v>59</v>
      </c>
      <c r="J27" t="s">
        <v>61</v>
      </c>
      <c r="K27" t="s">
        <v>60</v>
      </c>
      <c r="L27">
        <v>1348</v>
      </c>
      <c r="N27">
        <v>1009</v>
      </c>
      <c r="O27" t="s">
        <v>29</v>
      </c>
      <c r="P27" t="s">
        <v>29</v>
      </c>
      <c r="Q27">
        <v>1000</v>
      </c>
      <c r="Y27">
        <v>0.009</v>
      </c>
      <c r="AA27">
        <v>18660.61</v>
      </c>
      <c r="AB27">
        <v>0</v>
      </c>
      <c r="AC27">
        <v>0</v>
      </c>
      <c r="AD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T27">
        <v>0.009</v>
      </c>
      <c r="AV27">
        <v>0</v>
      </c>
      <c r="AW27">
        <v>1</v>
      </c>
      <c r="AX27">
        <v>-1</v>
      </c>
      <c r="AY27">
        <v>0</v>
      </c>
      <c r="AZ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ROW(Source!A31)</f>
        <v>31</v>
      </c>
      <c r="B28">
        <v>20215239</v>
      </c>
      <c r="C28">
        <v>20215234</v>
      </c>
      <c r="D28">
        <v>7164360</v>
      </c>
      <c r="E28">
        <v>7157832</v>
      </c>
      <c r="F28">
        <v>1</v>
      </c>
      <c r="G28">
        <v>7157832</v>
      </c>
      <c r="H28">
        <v>3</v>
      </c>
      <c r="I28" t="s">
        <v>144</v>
      </c>
      <c r="L28">
        <v>1346</v>
      </c>
      <c r="Y28">
        <v>1.5</v>
      </c>
      <c r="AA28">
        <v>6.3036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1.5</v>
      </c>
      <c r="AV28">
        <v>0</v>
      </c>
      <c r="AW28">
        <v>2</v>
      </c>
      <c r="AX28">
        <v>20215239</v>
      </c>
      <c r="AY28">
        <v>1</v>
      </c>
      <c r="AZ28">
        <v>0</v>
      </c>
      <c r="BA28">
        <v>24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ROW(Source!A33)</f>
        <v>33</v>
      </c>
      <c r="B29">
        <v>20215265</v>
      </c>
      <c r="C29">
        <v>20215264</v>
      </c>
      <c r="D29">
        <v>7157835</v>
      </c>
      <c r="E29">
        <v>7157832</v>
      </c>
      <c r="F29">
        <v>1</v>
      </c>
      <c r="G29">
        <v>7157832</v>
      </c>
      <c r="H29">
        <v>1</v>
      </c>
      <c r="I29" t="s">
        <v>144</v>
      </c>
      <c r="L29">
        <v>1191</v>
      </c>
      <c r="Y29">
        <v>2.852</v>
      </c>
      <c r="AA29">
        <v>0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2.48</v>
      </c>
      <c r="AU29" t="s">
        <v>32</v>
      </c>
      <c r="AV29">
        <v>1</v>
      </c>
      <c r="AW29">
        <v>2</v>
      </c>
      <c r="AX29">
        <v>20215265</v>
      </c>
      <c r="AY29">
        <v>1</v>
      </c>
      <c r="AZ29">
        <v>0</v>
      </c>
      <c r="BA29">
        <v>26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ROW(Source!A33)</f>
        <v>33</v>
      </c>
      <c r="B30">
        <v>20215267</v>
      </c>
      <c r="C30">
        <v>20215264</v>
      </c>
      <c r="D30">
        <v>7159942</v>
      </c>
      <c r="E30">
        <v>7157832</v>
      </c>
      <c r="F30">
        <v>1</v>
      </c>
      <c r="G30">
        <v>7157832</v>
      </c>
      <c r="H30">
        <v>2</v>
      </c>
      <c r="I30" t="s">
        <v>144</v>
      </c>
      <c r="L30">
        <v>1344</v>
      </c>
      <c r="Y30">
        <v>1.8625</v>
      </c>
      <c r="AA30">
        <v>0</v>
      </c>
      <c r="AB30">
        <v>1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1.49</v>
      </c>
      <c r="AU30" t="s">
        <v>31</v>
      </c>
      <c r="AV30">
        <v>0</v>
      </c>
      <c r="AW30">
        <v>2</v>
      </c>
      <c r="AX30">
        <v>20215267</v>
      </c>
      <c r="AY30">
        <v>1</v>
      </c>
      <c r="AZ30">
        <v>0</v>
      </c>
      <c r="BA30">
        <v>27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ROW(Source!A33)</f>
        <v>33</v>
      </c>
      <c r="B31">
        <v>20215266</v>
      </c>
      <c r="C31">
        <v>20215264</v>
      </c>
      <c r="D31">
        <v>7231134</v>
      </c>
      <c r="E31">
        <v>1</v>
      </c>
      <c r="F31">
        <v>1</v>
      </c>
      <c r="G31">
        <v>7157832</v>
      </c>
      <c r="H31">
        <v>2</v>
      </c>
      <c r="I31" t="s">
        <v>144</v>
      </c>
      <c r="L31">
        <v>1368</v>
      </c>
      <c r="Y31">
        <v>1.4000000000000001</v>
      </c>
      <c r="AA31">
        <v>0</v>
      </c>
      <c r="AB31">
        <v>17.32</v>
      </c>
      <c r="AC31">
        <v>1.36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1.12</v>
      </c>
      <c r="AU31" t="s">
        <v>31</v>
      </c>
      <c r="AV31">
        <v>0</v>
      </c>
      <c r="AW31">
        <v>2</v>
      </c>
      <c r="AX31">
        <v>20215266</v>
      </c>
      <c r="AY31">
        <v>1</v>
      </c>
      <c r="AZ31">
        <v>0</v>
      </c>
      <c r="BA31">
        <v>28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ROW(Source!A33)</f>
        <v>33</v>
      </c>
      <c r="B32">
        <v>20215269</v>
      </c>
      <c r="C32">
        <v>20215264</v>
      </c>
      <c r="D32">
        <v>9283688</v>
      </c>
      <c r="E32">
        <v>1</v>
      </c>
      <c r="F32">
        <v>1</v>
      </c>
      <c r="G32">
        <v>7157832</v>
      </c>
      <c r="H32">
        <v>3</v>
      </c>
      <c r="I32" t="s">
        <v>67</v>
      </c>
      <c r="J32" t="s">
        <v>70</v>
      </c>
      <c r="K32" t="s">
        <v>68</v>
      </c>
      <c r="L32">
        <v>1346</v>
      </c>
      <c r="N32">
        <v>1009</v>
      </c>
      <c r="O32" t="s">
        <v>69</v>
      </c>
      <c r="P32" t="s">
        <v>69</v>
      </c>
      <c r="Q32">
        <v>1</v>
      </c>
      <c r="Y32">
        <v>13</v>
      </c>
      <c r="AA32">
        <v>35.59</v>
      </c>
      <c r="AB32">
        <v>0</v>
      </c>
      <c r="AC32">
        <v>0</v>
      </c>
      <c r="AD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T32">
        <v>13</v>
      </c>
      <c r="AV32">
        <v>0</v>
      </c>
      <c r="AW32">
        <v>1</v>
      </c>
      <c r="AX32">
        <v>-1</v>
      </c>
      <c r="AY32">
        <v>0</v>
      </c>
      <c r="AZ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ROW(Source!A33)</f>
        <v>33</v>
      </c>
      <c r="B33">
        <v>20215270</v>
      </c>
      <c r="C33">
        <v>20215264</v>
      </c>
      <c r="D33">
        <v>7164186</v>
      </c>
      <c r="E33">
        <v>7157832</v>
      </c>
      <c r="F33">
        <v>1</v>
      </c>
      <c r="G33">
        <v>7157832</v>
      </c>
      <c r="H33">
        <v>3</v>
      </c>
      <c r="I33" t="s">
        <v>144</v>
      </c>
      <c r="L33">
        <v>1346</v>
      </c>
      <c r="Y33">
        <v>2</v>
      </c>
      <c r="AA33">
        <v>14.3257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2</v>
      </c>
      <c r="AV33">
        <v>0</v>
      </c>
      <c r="AW33">
        <v>2</v>
      </c>
      <c r="AX33">
        <v>20215270</v>
      </c>
      <c r="AY33">
        <v>1</v>
      </c>
      <c r="AZ33">
        <v>0</v>
      </c>
      <c r="BA33">
        <v>29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ROW(Source!A33)</f>
        <v>33</v>
      </c>
      <c r="B34">
        <v>20215268</v>
      </c>
      <c r="C34">
        <v>20215264</v>
      </c>
      <c r="D34">
        <v>7234491</v>
      </c>
      <c r="E34">
        <v>1</v>
      </c>
      <c r="F34">
        <v>1</v>
      </c>
      <c r="G34">
        <v>7157832</v>
      </c>
      <c r="H34">
        <v>3</v>
      </c>
      <c r="I34" t="s">
        <v>144</v>
      </c>
      <c r="L34">
        <v>1346</v>
      </c>
      <c r="Y34">
        <v>4.33</v>
      </c>
      <c r="AA34">
        <v>93.3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4.33</v>
      </c>
      <c r="AV34">
        <v>0</v>
      </c>
      <c r="AW34">
        <v>2</v>
      </c>
      <c r="AX34">
        <v>20215268</v>
      </c>
      <c r="AY34">
        <v>1</v>
      </c>
      <c r="AZ34">
        <v>0</v>
      </c>
      <c r="BA34">
        <v>30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ROW(Source!A35)</f>
        <v>35</v>
      </c>
      <c r="B35">
        <v>20217106</v>
      </c>
      <c r="C35">
        <v>20215310</v>
      </c>
      <c r="D35">
        <v>7157835</v>
      </c>
      <c r="E35">
        <v>7157832</v>
      </c>
      <c r="F35">
        <v>1</v>
      </c>
      <c r="G35">
        <v>7157832</v>
      </c>
      <c r="H35">
        <v>1</v>
      </c>
      <c r="I35" t="s">
        <v>144</v>
      </c>
      <c r="L35">
        <v>1191</v>
      </c>
      <c r="Y35">
        <v>218.49999999999997</v>
      </c>
      <c r="AA35">
        <v>0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190</v>
      </c>
      <c r="AU35" t="s">
        <v>76</v>
      </c>
      <c r="AV35">
        <v>1</v>
      </c>
      <c r="AW35">
        <v>2</v>
      </c>
      <c r="AX35">
        <v>20217106</v>
      </c>
      <c r="AY35">
        <v>1</v>
      </c>
      <c r="AZ35">
        <v>0</v>
      </c>
      <c r="BA35">
        <v>32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ROW(Source!A35)</f>
        <v>35</v>
      </c>
      <c r="B36">
        <v>20217107</v>
      </c>
      <c r="C36">
        <v>20215310</v>
      </c>
      <c r="D36">
        <v>7159942</v>
      </c>
      <c r="E36">
        <v>7157832</v>
      </c>
      <c r="F36">
        <v>1</v>
      </c>
      <c r="G36">
        <v>7157832</v>
      </c>
      <c r="H36">
        <v>2</v>
      </c>
      <c r="I36" t="s">
        <v>144</v>
      </c>
      <c r="L36">
        <v>1344</v>
      </c>
      <c r="Y36">
        <v>75.75</v>
      </c>
      <c r="AA36">
        <v>0</v>
      </c>
      <c r="AB36">
        <v>1</v>
      </c>
      <c r="AC36">
        <v>0</v>
      </c>
      <c r="AD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60.6</v>
      </c>
      <c r="AU36" t="s">
        <v>75</v>
      </c>
      <c r="AV36">
        <v>0</v>
      </c>
      <c r="AW36">
        <v>2</v>
      </c>
      <c r="AX36">
        <v>20217107</v>
      </c>
      <c r="AY36">
        <v>1</v>
      </c>
      <c r="AZ36">
        <v>0</v>
      </c>
      <c r="BA36">
        <v>33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ROW(Source!A35)</f>
        <v>35</v>
      </c>
      <c r="B37">
        <v>20217108</v>
      </c>
      <c r="C37">
        <v>20215310</v>
      </c>
      <c r="D37">
        <v>7232679</v>
      </c>
      <c r="E37">
        <v>1</v>
      </c>
      <c r="F37">
        <v>1</v>
      </c>
      <c r="G37">
        <v>7157832</v>
      </c>
      <c r="H37">
        <v>3</v>
      </c>
      <c r="I37" t="s">
        <v>144</v>
      </c>
      <c r="L37">
        <v>1348</v>
      </c>
      <c r="Y37">
        <v>0.01005</v>
      </c>
      <c r="AA37">
        <v>23120.53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0.01005</v>
      </c>
      <c r="AV37">
        <v>0</v>
      </c>
      <c r="AW37">
        <v>2</v>
      </c>
      <c r="AX37">
        <v>20217108</v>
      </c>
      <c r="AY37">
        <v>1</v>
      </c>
      <c r="AZ37">
        <v>0</v>
      </c>
      <c r="BA37">
        <v>34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ROW(Source!A35)</f>
        <v>35</v>
      </c>
      <c r="B38">
        <v>20217109</v>
      </c>
      <c r="C38">
        <v>20215310</v>
      </c>
      <c r="D38">
        <v>7232761</v>
      </c>
      <c r="E38">
        <v>1</v>
      </c>
      <c r="F38">
        <v>1</v>
      </c>
      <c r="G38">
        <v>7157832</v>
      </c>
      <c r="H38">
        <v>3</v>
      </c>
      <c r="I38" t="s">
        <v>144</v>
      </c>
      <c r="L38">
        <v>1348</v>
      </c>
      <c r="Y38">
        <v>0.00548</v>
      </c>
      <c r="AA38">
        <v>7254.88</v>
      </c>
      <c r="AB38">
        <v>0</v>
      </c>
      <c r="AC38">
        <v>0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0.00548</v>
      </c>
      <c r="AV38">
        <v>0</v>
      </c>
      <c r="AW38">
        <v>2</v>
      </c>
      <c r="AX38">
        <v>20217109</v>
      </c>
      <c r="AY38">
        <v>1</v>
      </c>
      <c r="AZ38">
        <v>0</v>
      </c>
      <c r="BA38">
        <v>35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ROW(Source!A35)</f>
        <v>35</v>
      </c>
      <c r="B39">
        <v>20217113</v>
      </c>
      <c r="C39">
        <v>20215310</v>
      </c>
      <c r="D39">
        <v>7171107</v>
      </c>
      <c r="E39">
        <v>7157832</v>
      </c>
      <c r="F39">
        <v>1</v>
      </c>
      <c r="G39">
        <v>7157832</v>
      </c>
      <c r="H39">
        <v>3</v>
      </c>
      <c r="I39" t="s">
        <v>144</v>
      </c>
      <c r="L39">
        <v>1348</v>
      </c>
      <c r="Y39">
        <v>0.006</v>
      </c>
      <c r="AA39">
        <v>63880.0011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0.006</v>
      </c>
      <c r="AV39">
        <v>0</v>
      </c>
      <c r="AW39">
        <v>2</v>
      </c>
      <c r="AX39">
        <v>20217113</v>
      </c>
      <c r="AY39">
        <v>1</v>
      </c>
      <c r="AZ39">
        <v>0</v>
      </c>
      <c r="BA39">
        <v>36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ROW(Source!A35)</f>
        <v>35</v>
      </c>
      <c r="B40">
        <v>20217110</v>
      </c>
      <c r="C40">
        <v>20215310</v>
      </c>
      <c r="D40">
        <v>7231889</v>
      </c>
      <c r="E40">
        <v>1</v>
      </c>
      <c r="F40">
        <v>1</v>
      </c>
      <c r="G40">
        <v>7157832</v>
      </c>
      <c r="H40">
        <v>3</v>
      </c>
      <c r="I40" t="s">
        <v>144</v>
      </c>
      <c r="L40">
        <v>1348</v>
      </c>
      <c r="Y40">
        <v>0.01</v>
      </c>
      <c r="AA40">
        <v>39052.85</v>
      </c>
      <c r="AB40">
        <v>0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0.01</v>
      </c>
      <c r="AV40">
        <v>0</v>
      </c>
      <c r="AW40">
        <v>2</v>
      </c>
      <c r="AX40">
        <v>20217110</v>
      </c>
      <c r="AY40">
        <v>1</v>
      </c>
      <c r="AZ40">
        <v>0</v>
      </c>
      <c r="BA40">
        <v>37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ROW(Source!A35)</f>
        <v>35</v>
      </c>
      <c r="B41">
        <v>20217111</v>
      </c>
      <c r="C41">
        <v>20215310</v>
      </c>
      <c r="D41">
        <v>7231947</v>
      </c>
      <c r="E41">
        <v>1</v>
      </c>
      <c r="F41">
        <v>1</v>
      </c>
      <c r="G41">
        <v>7157832</v>
      </c>
      <c r="H41">
        <v>3</v>
      </c>
      <c r="I41" t="s">
        <v>144</v>
      </c>
      <c r="L41">
        <v>1354</v>
      </c>
      <c r="Y41">
        <v>418</v>
      </c>
      <c r="AA41">
        <v>3.86</v>
      </c>
      <c r="AB41">
        <v>0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418</v>
      </c>
      <c r="AV41">
        <v>0</v>
      </c>
      <c r="AW41">
        <v>2</v>
      </c>
      <c r="AX41">
        <v>20217111</v>
      </c>
      <c r="AY41">
        <v>1</v>
      </c>
      <c r="AZ41">
        <v>0</v>
      </c>
      <c r="BA41">
        <v>38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ROW(Source!A35)</f>
        <v>35</v>
      </c>
      <c r="B42">
        <v>20217129</v>
      </c>
      <c r="C42">
        <v>20215310</v>
      </c>
      <c r="D42">
        <v>7234261</v>
      </c>
      <c r="E42">
        <v>1</v>
      </c>
      <c r="F42">
        <v>1</v>
      </c>
      <c r="G42">
        <v>7157832</v>
      </c>
      <c r="H42">
        <v>3</v>
      </c>
      <c r="I42" t="s">
        <v>86</v>
      </c>
      <c r="J42" t="s">
        <v>88</v>
      </c>
      <c r="K42" t="s">
        <v>87</v>
      </c>
      <c r="L42">
        <v>1327</v>
      </c>
      <c r="N42">
        <v>1005</v>
      </c>
      <c r="O42" t="s">
        <v>22</v>
      </c>
      <c r="P42" t="s">
        <v>22</v>
      </c>
      <c r="Q42">
        <v>1</v>
      </c>
      <c r="Y42">
        <v>121.3</v>
      </c>
      <c r="AA42">
        <v>28.7</v>
      </c>
      <c r="AB42">
        <v>0</v>
      </c>
      <c r="AC42">
        <v>0</v>
      </c>
      <c r="AD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T42">
        <v>121.3</v>
      </c>
      <c r="AV42">
        <v>0</v>
      </c>
      <c r="AW42">
        <v>1</v>
      </c>
      <c r="AX42">
        <v>-1</v>
      </c>
      <c r="AY42">
        <v>0</v>
      </c>
      <c r="AZ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ROW(Source!A35)</f>
        <v>35</v>
      </c>
      <c r="B43">
        <v>20217112</v>
      </c>
      <c r="C43">
        <v>20215310</v>
      </c>
      <c r="D43">
        <v>7164478</v>
      </c>
      <c r="E43">
        <v>7157832</v>
      </c>
      <c r="F43">
        <v>1</v>
      </c>
      <c r="G43">
        <v>7157832</v>
      </c>
      <c r="H43">
        <v>3</v>
      </c>
      <c r="I43" t="s">
        <v>144</v>
      </c>
      <c r="L43">
        <v>1346</v>
      </c>
      <c r="Y43">
        <v>10.2</v>
      </c>
      <c r="AA43">
        <v>11.3736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10.2</v>
      </c>
      <c r="AV43">
        <v>0</v>
      </c>
      <c r="AW43">
        <v>2</v>
      </c>
      <c r="AX43">
        <v>20217112</v>
      </c>
      <c r="AY43">
        <v>1</v>
      </c>
      <c r="AZ43">
        <v>0</v>
      </c>
      <c r="BA43">
        <v>39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ROW(Source!A35)</f>
        <v>35</v>
      </c>
      <c r="B44">
        <v>20217123</v>
      </c>
      <c r="C44">
        <v>20215310</v>
      </c>
      <c r="D44">
        <v>7238377</v>
      </c>
      <c r="E44">
        <v>1</v>
      </c>
      <c r="F44">
        <v>1</v>
      </c>
      <c r="G44">
        <v>7157832</v>
      </c>
      <c r="H44">
        <v>3</v>
      </c>
      <c r="I44" t="s">
        <v>80</v>
      </c>
      <c r="J44" t="s">
        <v>82</v>
      </c>
      <c r="K44" t="s">
        <v>81</v>
      </c>
      <c r="L44">
        <v>1348</v>
      </c>
      <c r="N44">
        <v>1009</v>
      </c>
      <c r="O44" t="s">
        <v>29</v>
      </c>
      <c r="P44" t="s">
        <v>29</v>
      </c>
      <c r="Q44">
        <v>1000</v>
      </c>
      <c r="Y44">
        <v>0.058</v>
      </c>
      <c r="AA44">
        <v>60883.49</v>
      </c>
      <c r="AB44">
        <v>0</v>
      </c>
      <c r="AC44">
        <v>0</v>
      </c>
      <c r="AD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T44">
        <v>0.058</v>
      </c>
      <c r="AV44">
        <v>0</v>
      </c>
      <c r="AW44">
        <v>1</v>
      </c>
      <c r="AX44">
        <v>-1</v>
      </c>
      <c r="AY44">
        <v>0</v>
      </c>
      <c r="AZ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ROW(Source!A35)</f>
        <v>35</v>
      </c>
      <c r="B45">
        <v>20217125</v>
      </c>
      <c r="C45">
        <v>20215310</v>
      </c>
      <c r="D45">
        <v>7238377</v>
      </c>
      <c r="E45">
        <v>1</v>
      </c>
      <c r="F45">
        <v>1</v>
      </c>
      <c r="G45">
        <v>7157832</v>
      </c>
      <c r="H45">
        <v>3</v>
      </c>
      <c r="I45" t="s">
        <v>80</v>
      </c>
      <c r="J45" t="s">
        <v>82</v>
      </c>
      <c r="K45" t="s">
        <v>81</v>
      </c>
      <c r="L45">
        <v>1348</v>
      </c>
      <c r="N45">
        <v>1009</v>
      </c>
      <c r="O45" t="s">
        <v>29</v>
      </c>
      <c r="P45" t="s">
        <v>29</v>
      </c>
      <c r="Q45">
        <v>1000</v>
      </c>
      <c r="Y45">
        <v>0.233</v>
      </c>
      <c r="AA45">
        <v>60883.49</v>
      </c>
      <c r="AB45">
        <v>0</v>
      </c>
      <c r="AC45">
        <v>0</v>
      </c>
      <c r="AD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T45">
        <v>0.233</v>
      </c>
      <c r="AV45">
        <v>0</v>
      </c>
      <c r="AW45">
        <v>1</v>
      </c>
      <c r="AX45">
        <v>-1</v>
      </c>
      <c r="AY45">
        <v>0</v>
      </c>
      <c r="AZ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ROW(Source!A35)</f>
        <v>35</v>
      </c>
      <c r="B46">
        <v>20217127</v>
      </c>
      <c r="C46">
        <v>20215310</v>
      </c>
      <c r="D46">
        <v>7238377</v>
      </c>
      <c r="E46">
        <v>1</v>
      </c>
      <c r="F46">
        <v>1</v>
      </c>
      <c r="G46">
        <v>7157832</v>
      </c>
      <c r="H46">
        <v>3</v>
      </c>
      <c r="I46" t="s">
        <v>80</v>
      </c>
      <c r="J46" t="s">
        <v>82</v>
      </c>
      <c r="K46" t="s">
        <v>81</v>
      </c>
      <c r="L46">
        <v>1348</v>
      </c>
      <c r="N46">
        <v>1009</v>
      </c>
      <c r="O46" t="s">
        <v>29</v>
      </c>
      <c r="P46" t="s">
        <v>29</v>
      </c>
      <c r="Q46">
        <v>1000</v>
      </c>
      <c r="Y46">
        <v>0.019</v>
      </c>
      <c r="AA46">
        <v>60883.49</v>
      </c>
      <c r="AB46">
        <v>0</v>
      </c>
      <c r="AC46">
        <v>0</v>
      </c>
      <c r="AD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T46">
        <v>0.019</v>
      </c>
      <c r="AV46">
        <v>0</v>
      </c>
      <c r="AW46">
        <v>1</v>
      </c>
      <c r="AX46">
        <v>-1</v>
      </c>
      <c r="AY46">
        <v>0</v>
      </c>
      <c r="AZ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ROW(Source!A40)</f>
        <v>40</v>
      </c>
      <c r="B47">
        <v>20217095</v>
      </c>
      <c r="C47">
        <v>20215359</v>
      </c>
      <c r="D47">
        <v>7157835</v>
      </c>
      <c r="E47">
        <v>7157832</v>
      </c>
      <c r="F47">
        <v>1</v>
      </c>
      <c r="G47">
        <v>7157832</v>
      </c>
      <c r="H47">
        <v>1</v>
      </c>
      <c r="I47" t="s">
        <v>144</v>
      </c>
      <c r="L47">
        <v>1191</v>
      </c>
      <c r="Y47">
        <v>48.104499999999994</v>
      </c>
      <c r="AA47">
        <v>0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41.83</v>
      </c>
      <c r="AU47" t="s">
        <v>76</v>
      </c>
      <c r="AV47">
        <v>1</v>
      </c>
      <c r="AW47">
        <v>2</v>
      </c>
      <c r="AX47">
        <v>20217095</v>
      </c>
      <c r="AY47">
        <v>1</v>
      </c>
      <c r="AZ47">
        <v>0</v>
      </c>
      <c r="BA47">
        <v>44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ROW(Source!A40)</f>
        <v>40</v>
      </c>
      <c r="B48">
        <v>20217096</v>
      </c>
      <c r="C48">
        <v>20215359</v>
      </c>
      <c r="D48">
        <v>7159942</v>
      </c>
      <c r="E48">
        <v>7157832</v>
      </c>
      <c r="F48">
        <v>1</v>
      </c>
      <c r="G48">
        <v>7157832</v>
      </c>
      <c r="H48">
        <v>2</v>
      </c>
      <c r="I48" t="s">
        <v>144</v>
      </c>
      <c r="L48">
        <v>1344</v>
      </c>
      <c r="Y48">
        <v>5.949999999999999</v>
      </c>
      <c r="AA48">
        <v>0</v>
      </c>
      <c r="AB48">
        <v>1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4.76</v>
      </c>
      <c r="AU48" t="s">
        <v>75</v>
      </c>
      <c r="AV48">
        <v>0</v>
      </c>
      <c r="AW48">
        <v>2</v>
      </c>
      <c r="AX48">
        <v>20217096</v>
      </c>
      <c r="AY48">
        <v>1</v>
      </c>
      <c r="AZ48">
        <v>0</v>
      </c>
      <c r="BA48">
        <v>45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ROW(Source!A40)</f>
        <v>40</v>
      </c>
      <c r="B49">
        <v>20217097</v>
      </c>
      <c r="C49">
        <v>20215359</v>
      </c>
      <c r="D49">
        <v>7171107</v>
      </c>
      <c r="E49">
        <v>7157832</v>
      </c>
      <c r="F49">
        <v>1</v>
      </c>
      <c r="G49">
        <v>7157832</v>
      </c>
      <c r="H49">
        <v>3</v>
      </c>
      <c r="I49" t="s">
        <v>144</v>
      </c>
      <c r="L49">
        <v>1348</v>
      </c>
      <c r="Y49">
        <v>0.00489</v>
      </c>
      <c r="AA49">
        <v>63880.0011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0.00489</v>
      </c>
      <c r="AV49">
        <v>0</v>
      </c>
      <c r="AW49">
        <v>2</v>
      </c>
      <c r="AX49">
        <v>20217097</v>
      </c>
      <c r="AY49">
        <v>1</v>
      </c>
      <c r="AZ49">
        <v>0</v>
      </c>
      <c r="BA49">
        <v>46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ROW(Source!A40)</f>
        <v>40</v>
      </c>
      <c r="B50">
        <v>20217103</v>
      </c>
      <c r="C50">
        <v>20215359</v>
      </c>
      <c r="D50">
        <v>7238377</v>
      </c>
      <c r="E50">
        <v>1</v>
      </c>
      <c r="F50">
        <v>1</v>
      </c>
      <c r="G50">
        <v>7157832</v>
      </c>
      <c r="H50">
        <v>3</v>
      </c>
      <c r="I50" t="s">
        <v>80</v>
      </c>
      <c r="J50" t="s">
        <v>82</v>
      </c>
      <c r="K50" t="s">
        <v>81</v>
      </c>
      <c r="L50">
        <v>1348</v>
      </c>
      <c r="N50">
        <v>1009</v>
      </c>
      <c r="O50" t="s">
        <v>29</v>
      </c>
      <c r="P50" t="s">
        <v>29</v>
      </c>
      <c r="Q50">
        <v>1000</v>
      </c>
      <c r="Y50">
        <v>0.02667</v>
      </c>
      <c r="AA50">
        <v>60883.49</v>
      </c>
      <c r="AB50">
        <v>0</v>
      </c>
      <c r="AC50">
        <v>0</v>
      </c>
      <c r="AD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T50">
        <v>0.02667</v>
      </c>
      <c r="AV50">
        <v>0</v>
      </c>
      <c r="AW50">
        <v>1</v>
      </c>
      <c r="AX50">
        <v>-1</v>
      </c>
      <c r="AY50">
        <v>0</v>
      </c>
      <c r="AZ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ROW(Source!A40)</f>
        <v>40</v>
      </c>
      <c r="B51">
        <v>20217105</v>
      </c>
      <c r="C51">
        <v>20215359</v>
      </c>
      <c r="D51">
        <v>7238377</v>
      </c>
      <c r="E51">
        <v>1</v>
      </c>
      <c r="F51">
        <v>1</v>
      </c>
      <c r="G51">
        <v>7157832</v>
      </c>
      <c r="H51">
        <v>3</v>
      </c>
      <c r="I51" t="s">
        <v>80</v>
      </c>
      <c r="J51" t="s">
        <v>82</v>
      </c>
      <c r="K51" t="s">
        <v>81</v>
      </c>
      <c r="L51">
        <v>1348</v>
      </c>
      <c r="N51">
        <v>1009</v>
      </c>
      <c r="O51" t="s">
        <v>29</v>
      </c>
      <c r="P51" t="s">
        <v>29</v>
      </c>
      <c r="Q51">
        <v>1000</v>
      </c>
      <c r="Y51">
        <v>0.08165</v>
      </c>
      <c r="AA51">
        <v>60883.49</v>
      </c>
      <c r="AB51">
        <v>0</v>
      </c>
      <c r="AC51">
        <v>0</v>
      </c>
      <c r="AD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T51">
        <v>0.08165</v>
      </c>
      <c r="AV51">
        <v>0</v>
      </c>
      <c r="AW51">
        <v>1</v>
      </c>
      <c r="AX51">
        <v>-1</v>
      </c>
      <c r="AY51">
        <v>0</v>
      </c>
      <c r="AZ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ROW(Source!A43)</f>
        <v>43</v>
      </c>
      <c r="B52">
        <v>20215368</v>
      </c>
      <c r="C52">
        <v>20215367</v>
      </c>
      <c r="D52">
        <v>7157835</v>
      </c>
      <c r="E52">
        <v>7157832</v>
      </c>
      <c r="F52">
        <v>1</v>
      </c>
      <c r="G52">
        <v>7157832</v>
      </c>
      <c r="H52">
        <v>1</v>
      </c>
      <c r="I52" t="s">
        <v>144</v>
      </c>
      <c r="L52">
        <v>1191</v>
      </c>
      <c r="Y52">
        <v>77.16499999999999</v>
      </c>
      <c r="AA52">
        <v>0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67.1</v>
      </c>
      <c r="AU52" t="s">
        <v>32</v>
      </c>
      <c r="AV52">
        <v>1</v>
      </c>
      <c r="AW52">
        <v>2</v>
      </c>
      <c r="AX52">
        <v>20215368</v>
      </c>
      <c r="AY52">
        <v>1</v>
      </c>
      <c r="AZ52">
        <v>0</v>
      </c>
      <c r="BA52">
        <v>49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ROW(Source!A43)</f>
        <v>43</v>
      </c>
      <c r="B53">
        <v>20215369</v>
      </c>
      <c r="C53">
        <v>20215367</v>
      </c>
      <c r="D53">
        <v>7231421</v>
      </c>
      <c r="E53">
        <v>1</v>
      </c>
      <c r="F53">
        <v>1</v>
      </c>
      <c r="G53">
        <v>7157832</v>
      </c>
      <c r="H53">
        <v>2</v>
      </c>
      <c r="I53" t="s">
        <v>144</v>
      </c>
      <c r="L53">
        <v>1368</v>
      </c>
      <c r="Y53">
        <v>2.3625</v>
      </c>
      <c r="AA53">
        <v>0</v>
      </c>
      <c r="AB53">
        <v>74.44</v>
      </c>
      <c r="AC53">
        <v>17.59</v>
      </c>
      <c r="AD53">
        <v>0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1.89</v>
      </c>
      <c r="AU53" t="s">
        <v>31</v>
      </c>
      <c r="AV53">
        <v>0</v>
      </c>
      <c r="AW53">
        <v>2</v>
      </c>
      <c r="AX53">
        <v>20215369</v>
      </c>
      <c r="AY53">
        <v>1</v>
      </c>
      <c r="AZ53">
        <v>0</v>
      </c>
      <c r="BA53">
        <v>50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ROW(Source!A43)</f>
        <v>43</v>
      </c>
      <c r="B54">
        <v>20215370</v>
      </c>
      <c r="C54">
        <v>20215367</v>
      </c>
      <c r="D54">
        <v>7230811</v>
      </c>
      <c r="E54">
        <v>1</v>
      </c>
      <c r="F54">
        <v>1</v>
      </c>
      <c r="G54">
        <v>7157832</v>
      </c>
      <c r="H54">
        <v>2</v>
      </c>
      <c r="I54" t="s">
        <v>144</v>
      </c>
      <c r="L54">
        <v>1368</v>
      </c>
      <c r="Y54">
        <v>1.575</v>
      </c>
      <c r="AA54">
        <v>0</v>
      </c>
      <c r="AB54">
        <v>102.11</v>
      </c>
      <c r="AC54">
        <v>30.03</v>
      </c>
      <c r="AD54">
        <v>0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1.26</v>
      </c>
      <c r="AU54" t="s">
        <v>31</v>
      </c>
      <c r="AV54">
        <v>0</v>
      </c>
      <c r="AW54">
        <v>2</v>
      </c>
      <c r="AX54">
        <v>20215370</v>
      </c>
      <c r="AY54">
        <v>1</v>
      </c>
      <c r="AZ54">
        <v>0</v>
      </c>
      <c r="BA54">
        <v>51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ROW(Source!A43)</f>
        <v>43</v>
      </c>
      <c r="B55">
        <v>20215371</v>
      </c>
      <c r="C55">
        <v>20215367</v>
      </c>
      <c r="D55">
        <v>7171107</v>
      </c>
      <c r="E55">
        <v>7157832</v>
      </c>
      <c r="F55">
        <v>1</v>
      </c>
      <c r="G55">
        <v>7157832</v>
      </c>
      <c r="H55">
        <v>3</v>
      </c>
      <c r="I55" t="s">
        <v>144</v>
      </c>
      <c r="L55">
        <v>1348</v>
      </c>
      <c r="Y55">
        <v>0.0034</v>
      </c>
      <c r="AA55">
        <v>63880.0011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0.0034</v>
      </c>
      <c r="AV55">
        <v>0</v>
      </c>
      <c r="AW55">
        <v>2</v>
      </c>
      <c r="AX55">
        <v>20215371</v>
      </c>
      <c r="AY55">
        <v>1</v>
      </c>
      <c r="AZ55">
        <v>0</v>
      </c>
      <c r="BA55">
        <v>52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ROW(Source!A43)</f>
        <v>43</v>
      </c>
      <c r="B56">
        <v>20215381</v>
      </c>
      <c r="C56">
        <v>20215367</v>
      </c>
      <c r="D56">
        <v>7239529</v>
      </c>
      <c r="E56">
        <v>1</v>
      </c>
      <c r="F56">
        <v>1</v>
      </c>
      <c r="G56">
        <v>7157832</v>
      </c>
      <c r="H56">
        <v>3</v>
      </c>
      <c r="I56" t="s">
        <v>102</v>
      </c>
      <c r="J56" t="s">
        <v>104</v>
      </c>
      <c r="K56" t="s">
        <v>103</v>
      </c>
      <c r="L56">
        <v>1327</v>
      </c>
      <c r="N56">
        <v>1005</v>
      </c>
      <c r="O56" t="s">
        <v>22</v>
      </c>
      <c r="P56" t="s">
        <v>22</v>
      </c>
      <c r="Q56">
        <v>1</v>
      </c>
      <c r="Y56">
        <v>100</v>
      </c>
      <c r="AA56">
        <v>291.29</v>
      </c>
      <c r="AB56">
        <v>0</v>
      </c>
      <c r="AC56">
        <v>0</v>
      </c>
      <c r="AD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T56">
        <v>100</v>
      </c>
      <c r="AV56">
        <v>0</v>
      </c>
      <c r="AW56">
        <v>1</v>
      </c>
      <c r="AX56">
        <v>-1</v>
      </c>
      <c r="AY56">
        <v>0</v>
      </c>
      <c r="AZ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ROW(Source!A43)</f>
        <v>43</v>
      </c>
      <c r="B57">
        <v>20215372</v>
      </c>
      <c r="C57">
        <v>20215367</v>
      </c>
      <c r="D57">
        <v>7173571</v>
      </c>
      <c r="E57">
        <v>7157832</v>
      </c>
      <c r="F57">
        <v>1</v>
      </c>
      <c r="G57">
        <v>7157832</v>
      </c>
      <c r="H57">
        <v>3</v>
      </c>
      <c r="I57" t="s">
        <v>156</v>
      </c>
      <c r="K57" t="s">
        <v>157</v>
      </c>
      <c r="L57">
        <v>1035</v>
      </c>
      <c r="N57">
        <v>1013</v>
      </c>
      <c r="O57" t="s">
        <v>158</v>
      </c>
      <c r="P57" t="s">
        <v>158</v>
      </c>
      <c r="Q57">
        <v>1</v>
      </c>
      <c r="Y57">
        <v>0</v>
      </c>
      <c r="AA57">
        <v>0</v>
      </c>
      <c r="AB57">
        <v>0</v>
      </c>
      <c r="AC57">
        <v>0</v>
      </c>
      <c r="AD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T57">
        <v>0</v>
      </c>
      <c r="AV57">
        <v>0</v>
      </c>
      <c r="AW57">
        <v>2</v>
      </c>
      <c r="AX57">
        <v>20215372</v>
      </c>
      <c r="AY57">
        <v>1</v>
      </c>
      <c r="AZ57">
        <v>0</v>
      </c>
      <c r="BA57">
        <v>53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ROW(Source!A45)</f>
        <v>45</v>
      </c>
      <c r="B58">
        <v>20217150</v>
      </c>
      <c r="C58">
        <v>20217149</v>
      </c>
      <c r="D58">
        <v>7157835</v>
      </c>
      <c r="E58">
        <v>7157832</v>
      </c>
      <c r="F58">
        <v>1</v>
      </c>
      <c r="G58">
        <v>7157832</v>
      </c>
      <c r="H58">
        <v>1</v>
      </c>
      <c r="I58" t="s">
        <v>144</v>
      </c>
      <c r="L58">
        <v>1191</v>
      </c>
      <c r="Y58">
        <v>278.29999999999995</v>
      </c>
      <c r="AA58">
        <v>0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242</v>
      </c>
      <c r="AU58" t="s">
        <v>76</v>
      </c>
      <c r="AV58">
        <v>1</v>
      </c>
      <c r="AW58">
        <v>2</v>
      </c>
      <c r="AX58">
        <v>20217150</v>
      </c>
      <c r="AY58">
        <v>1</v>
      </c>
      <c r="AZ58">
        <v>0</v>
      </c>
      <c r="BA58">
        <v>55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  <row r="59" spans="1:80" ht="12.75">
      <c r="A59">
        <f>ROW(Source!A45)</f>
        <v>45</v>
      </c>
      <c r="B59">
        <v>20217151</v>
      </c>
      <c r="C59">
        <v>20217149</v>
      </c>
      <c r="D59">
        <v>7159942</v>
      </c>
      <c r="E59">
        <v>7157832</v>
      </c>
      <c r="F59">
        <v>1</v>
      </c>
      <c r="G59">
        <v>7157832</v>
      </c>
      <c r="H59">
        <v>2</v>
      </c>
      <c r="I59" t="s">
        <v>144</v>
      </c>
      <c r="L59">
        <v>1344</v>
      </c>
      <c r="Y59">
        <v>270.325</v>
      </c>
      <c r="AA59">
        <v>0</v>
      </c>
      <c r="AB59">
        <v>1</v>
      </c>
      <c r="AC59">
        <v>0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216.26</v>
      </c>
      <c r="AU59" t="s">
        <v>75</v>
      </c>
      <c r="AV59">
        <v>0</v>
      </c>
      <c r="AW59">
        <v>2</v>
      </c>
      <c r="AX59">
        <v>20217151</v>
      </c>
      <c r="AY59">
        <v>1</v>
      </c>
      <c r="AZ59">
        <v>0</v>
      </c>
      <c r="BA59">
        <v>56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B59">
        <v>0</v>
      </c>
    </row>
    <row r="60" spans="1:80" ht="12.75">
      <c r="A60">
        <f>ROW(Source!A45)</f>
        <v>45</v>
      </c>
      <c r="B60">
        <v>20217152</v>
      </c>
      <c r="C60">
        <v>20217149</v>
      </c>
      <c r="D60">
        <v>7233166</v>
      </c>
      <c r="E60">
        <v>1</v>
      </c>
      <c r="F60">
        <v>1</v>
      </c>
      <c r="G60">
        <v>7157832</v>
      </c>
      <c r="H60">
        <v>3</v>
      </c>
      <c r="I60" t="s">
        <v>144</v>
      </c>
      <c r="L60">
        <v>1348</v>
      </c>
      <c r="Y60">
        <v>0.0012</v>
      </c>
      <c r="AA60">
        <v>29128.14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0.0012</v>
      </c>
      <c r="AV60">
        <v>0</v>
      </c>
      <c r="AW60">
        <v>2</v>
      </c>
      <c r="AX60">
        <v>20217152</v>
      </c>
      <c r="AY60">
        <v>1</v>
      </c>
      <c r="AZ60">
        <v>0</v>
      </c>
      <c r="BA60">
        <v>57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B60">
        <v>0</v>
      </c>
    </row>
    <row r="61" spans="1:80" ht="12.75">
      <c r="A61">
        <f>ROW(Source!A45)</f>
        <v>45</v>
      </c>
      <c r="B61">
        <v>20217153</v>
      </c>
      <c r="C61">
        <v>20217149</v>
      </c>
      <c r="D61">
        <v>7237749</v>
      </c>
      <c r="E61">
        <v>1</v>
      </c>
      <c r="F61">
        <v>1</v>
      </c>
      <c r="G61">
        <v>7157832</v>
      </c>
      <c r="H61">
        <v>3</v>
      </c>
      <c r="I61" t="s">
        <v>144</v>
      </c>
      <c r="L61">
        <v>1348</v>
      </c>
      <c r="Y61">
        <v>0.12</v>
      </c>
      <c r="AA61">
        <v>17742.7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0.12</v>
      </c>
      <c r="AV61">
        <v>0</v>
      </c>
      <c r="AW61">
        <v>2</v>
      </c>
      <c r="AX61">
        <v>20217153</v>
      </c>
      <c r="AY61">
        <v>1</v>
      </c>
      <c r="AZ61">
        <v>0</v>
      </c>
      <c r="BA61">
        <v>58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B61">
        <v>0</v>
      </c>
    </row>
    <row r="62" spans="1:80" ht="12.75">
      <c r="A62">
        <f>ROW(Source!A45)</f>
        <v>45</v>
      </c>
      <c r="B62">
        <v>20217157</v>
      </c>
      <c r="C62">
        <v>20217149</v>
      </c>
      <c r="D62">
        <v>7239922</v>
      </c>
      <c r="E62">
        <v>1</v>
      </c>
      <c r="F62">
        <v>1</v>
      </c>
      <c r="G62">
        <v>7157832</v>
      </c>
      <c r="H62">
        <v>3</v>
      </c>
      <c r="I62" t="s">
        <v>112</v>
      </c>
      <c r="J62" t="s">
        <v>114</v>
      </c>
      <c r="K62" t="s">
        <v>113</v>
      </c>
      <c r="L62">
        <v>1327</v>
      </c>
      <c r="N62">
        <v>1005</v>
      </c>
      <c r="O62" t="s">
        <v>22</v>
      </c>
      <c r="P62" t="s">
        <v>22</v>
      </c>
      <c r="Q62">
        <v>1</v>
      </c>
      <c r="Y62">
        <v>100</v>
      </c>
      <c r="AA62">
        <v>79.7</v>
      </c>
      <c r="AB62">
        <v>0</v>
      </c>
      <c r="AC62">
        <v>0</v>
      </c>
      <c r="AD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T62">
        <v>100</v>
      </c>
      <c r="AV62">
        <v>0</v>
      </c>
      <c r="AW62">
        <v>1</v>
      </c>
      <c r="AX62">
        <v>-1</v>
      </c>
      <c r="AY62">
        <v>0</v>
      </c>
      <c r="AZ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B62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5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20217081</v>
      </c>
      <c r="C1">
        <v>20217080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144</v>
      </c>
      <c r="X1">
        <v>12.3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G1">
        <v>12.3</v>
      </c>
      <c r="AH1">
        <v>2</v>
      </c>
      <c r="AI1">
        <v>20217081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20217082</v>
      </c>
      <c r="C2">
        <v>20217080</v>
      </c>
      <c r="D2">
        <v>7159942</v>
      </c>
      <c r="E2">
        <v>7157832</v>
      </c>
      <c r="F2">
        <v>1</v>
      </c>
      <c r="G2">
        <v>7157832</v>
      </c>
      <c r="H2">
        <v>2</v>
      </c>
      <c r="I2" t="s">
        <v>144</v>
      </c>
      <c r="X2">
        <v>0.58</v>
      </c>
      <c r="Y2">
        <v>0</v>
      </c>
      <c r="Z2">
        <v>1</v>
      </c>
      <c r="AA2">
        <v>0</v>
      </c>
      <c r="AB2">
        <v>0</v>
      </c>
      <c r="AC2">
        <v>0</v>
      </c>
      <c r="AD2">
        <v>1</v>
      </c>
      <c r="AE2">
        <v>0</v>
      </c>
      <c r="AG2">
        <v>0.58</v>
      </c>
      <c r="AH2">
        <v>2</v>
      </c>
      <c r="AI2">
        <v>20217082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20217083</v>
      </c>
      <c r="C3">
        <v>20217080</v>
      </c>
      <c r="D3">
        <v>7182702</v>
      </c>
      <c r="E3">
        <v>7157832</v>
      </c>
      <c r="F3">
        <v>1</v>
      </c>
      <c r="G3">
        <v>7157832</v>
      </c>
      <c r="H3">
        <v>3</v>
      </c>
      <c r="I3" t="s">
        <v>144</v>
      </c>
      <c r="X3">
        <v>0.94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G3">
        <v>0.94</v>
      </c>
      <c r="AH3">
        <v>2</v>
      </c>
      <c r="AI3">
        <v>20217083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ROW(Source!A25)</f>
        <v>25</v>
      </c>
      <c r="B4">
        <v>20216149</v>
      </c>
      <c r="C4">
        <v>20216148</v>
      </c>
      <c r="D4">
        <v>7157835</v>
      </c>
      <c r="E4">
        <v>7157832</v>
      </c>
      <c r="F4">
        <v>1</v>
      </c>
      <c r="G4">
        <v>7157832</v>
      </c>
      <c r="H4">
        <v>1</v>
      </c>
      <c r="I4" t="s">
        <v>144</v>
      </c>
      <c r="X4">
        <v>0.6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1</v>
      </c>
      <c r="AG4">
        <v>0.6</v>
      </c>
      <c r="AH4">
        <v>2</v>
      </c>
      <c r="AI4">
        <v>20216149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ROW(Source!A26)</f>
        <v>26</v>
      </c>
      <c r="B5">
        <v>20213894</v>
      </c>
      <c r="C5">
        <v>20213893</v>
      </c>
      <c r="D5">
        <v>7157835</v>
      </c>
      <c r="E5">
        <v>7157832</v>
      </c>
      <c r="F5">
        <v>1</v>
      </c>
      <c r="G5">
        <v>7157832</v>
      </c>
      <c r="H5">
        <v>1</v>
      </c>
      <c r="I5" t="s">
        <v>144</v>
      </c>
      <c r="X5">
        <v>91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1</v>
      </c>
      <c r="AF5" t="s">
        <v>32</v>
      </c>
      <c r="AG5">
        <v>104.64999999999999</v>
      </c>
      <c r="AH5">
        <v>2</v>
      </c>
      <c r="AI5">
        <v>20213894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ROW(Source!A26)</f>
        <v>26</v>
      </c>
      <c r="B6">
        <v>20213900</v>
      </c>
      <c r="C6">
        <v>20213893</v>
      </c>
      <c r="D6">
        <v>7159942</v>
      </c>
      <c r="E6">
        <v>7157832</v>
      </c>
      <c r="F6">
        <v>1</v>
      </c>
      <c r="G6">
        <v>7157832</v>
      </c>
      <c r="H6">
        <v>2</v>
      </c>
      <c r="I6" t="s">
        <v>144</v>
      </c>
      <c r="X6">
        <v>37.22</v>
      </c>
      <c r="Y6">
        <v>0</v>
      </c>
      <c r="Z6">
        <v>1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31</v>
      </c>
      <c r="AG6">
        <v>46.525</v>
      </c>
      <c r="AH6">
        <v>2</v>
      </c>
      <c r="AI6">
        <v>20213900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ROW(Source!A26)</f>
        <v>26</v>
      </c>
      <c r="B7">
        <v>20213895</v>
      </c>
      <c r="C7">
        <v>20213893</v>
      </c>
      <c r="D7">
        <v>7231214</v>
      </c>
      <c r="E7">
        <v>1</v>
      </c>
      <c r="F7">
        <v>1</v>
      </c>
      <c r="G7">
        <v>7157832</v>
      </c>
      <c r="H7">
        <v>2</v>
      </c>
      <c r="I7" t="s">
        <v>144</v>
      </c>
      <c r="X7">
        <v>27.3</v>
      </c>
      <c r="Y7">
        <v>0</v>
      </c>
      <c r="Z7">
        <v>6.22</v>
      </c>
      <c r="AA7">
        <v>0.29</v>
      </c>
      <c r="AB7">
        <v>0</v>
      </c>
      <c r="AC7">
        <v>0</v>
      </c>
      <c r="AD7">
        <v>1</v>
      </c>
      <c r="AE7">
        <v>0</v>
      </c>
      <c r="AF7" t="s">
        <v>31</v>
      </c>
      <c r="AG7">
        <v>34.125</v>
      </c>
      <c r="AH7">
        <v>2</v>
      </c>
      <c r="AI7">
        <v>20213895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ROW(Source!A26)</f>
        <v>26</v>
      </c>
      <c r="B8">
        <v>20213896</v>
      </c>
      <c r="C8">
        <v>20213893</v>
      </c>
      <c r="D8">
        <v>7231216</v>
      </c>
      <c r="E8">
        <v>1</v>
      </c>
      <c r="F8">
        <v>1</v>
      </c>
      <c r="G8">
        <v>7157832</v>
      </c>
      <c r="H8">
        <v>2</v>
      </c>
      <c r="I8" t="s">
        <v>144</v>
      </c>
      <c r="X8">
        <v>1</v>
      </c>
      <c r="Y8">
        <v>0</v>
      </c>
      <c r="Z8">
        <v>1.09</v>
      </c>
      <c r="AA8">
        <v>0.09</v>
      </c>
      <c r="AB8">
        <v>0</v>
      </c>
      <c r="AC8">
        <v>0</v>
      </c>
      <c r="AD8">
        <v>1</v>
      </c>
      <c r="AE8">
        <v>0</v>
      </c>
      <c r="AF8" t="s">
        <v>31</v>
      </c>
      <c r="AG8">
        <v>1.25</v>
      </c>
      <c r="AH8">
        <v>2</v>
      </c>
      <c r="AI8">
        <v>20213896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ROW(Source!A26)</f>
        <v>26</v>
      </c>
      <c r="B9">
        <v>20213897</v>
      </c>
      <c r="C9">
        <v>20213893</v>
      </c>
      <c r="D9">
        <v>7231457</v>
      </c>
      <c r="E9">
        <v>1</v>
      </c>
      <c r="F9">
        <v>1</v>
      </c>
      <c r="G9">
        <v>7157832</v>
      </c>
      <c r="H9">
        <v>2</v>
      </c>
      <c r="I9" t="s">
        <v>144</v>
      </c>
      <c r="X9">
        <v>1.1</v>
      </c>
      <c r="Y9">
        <v>0</v>
      </c>
      <c r="Z9">
        <v>0.68</v>
      </c>
      <c r="AA9">
        <v>0.04</v>
      </c>
      <c r="AB9">
        <v>0</v>
      </c>
      <c r="AC9">
        <v>0</v>
      </c>
      <c r="AD9">
        <v>1</v>
      </c>
      <c r="AE9">
        <v>0</v>
      </c>
      <c r="AF9" t="s">
        <v>31</v>
      </c>
      <c r="AG9">
        <v>1.375</v>
      </c>
      <c r="AH9">
        <v>2</v>
      </c>
      <c r="AI9">
        <v>20213897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ROW(Source!A26)</f>
        <v>26</v>
      </c>
      <c r="B10">
        <v>20213898</v>
      </c>
      <c r="C10">
        <v>20213893</v>
      </c>
      <c r="D10">
        <v>7231445</v>
      </c>
      <c r="E10">
        <v>1</v>
      </c>
      <c r="F10">
        <v>1</v>
      </c>
      <c r="G10">
        <v>7157832</v>
      </c>
      <c r="H10">
        <v>2</v>
      </c>
      <c r="I10" t="s">
        <v>144</v>
      </c>
      <c r="X10">
        <v>0.3</v>
      </c>
      <c r="Y10">
        <v>0</v>
      </c>
      <c r="Z10">
        <v>2.36</v>
      </c>
      <c r="AA10">
        <v>0.1</v>
      </c>
      <c r="AB10">
        <v>0</v>
      </c>
      <c r="AC10">
        <v>0</v>
      </c>
      <c r="AD10">
        <v>1</v>
      </c>
      <c r="AE10">
        <v>0</v>
      </c>
      <c r="AF10" t="s">
        <v>31</v>
      </c>
      <c r="AG10">
        <v>0.375</v>
      </c>
      <c r="AH10">
        <v>2</v>
      </c>
      <c r="AI10">
        <v>20213898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ROW(Source!A26)</f>
        <v>26</v>
      </c>
      <c r="B11">
        <v>20213899</v>
      </c>
      <c r="C11">
        <v>20213893</v>
      </c>
      <c r="D11">
        <v>7231498</v>
      </c>
      <c r="E11">
        <v>1</v>
      </c>
      <c r="F11">
        <v>1</v>
      </c>
      <c r="G11">
        <v>7157832</v>
      </c>
      <c r="H11">
        <v>2</v>
      </c>
      <c r="I11" t="s">
        <v>144</v>
      </c>
      <c r="X11">
        <v>0.84</v>
      </c>
      <c r="Y11">
        <v>0</v>
      </c>
      <c r="Z11">
        <v>18.31</v>
      </c>
      <c r="AA11">
        <v>13.46</v>
      </c>
      <c r="AB11">
        <v>0</v>
      </c>
      <c r="AC11">
        <v>0</v>
      </c>
      <c r="AD11">
        <v>1</v>
      </c>
      <c r="AE11">
        <v>0</v>
      </c>
      <c r="AF11" t="s">
        <v>31</v>
      </c>
      <c r="AG11">
        <v>1.05</v>
      </c>
      <c r="AH11">
        <v>2</v>
      </c>
      <c r="AI11">
        <v>20213899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ROW(Source!A26)</f>
        <v>26</v>
      </c>
      <c r="B12">
        <v>20213901</v>
      </c>
      <c r="C12">
        <v>20213893</v>
      </c>
      <c r="D12">
        <v>7158014</v>
      </c>
      <c r="E12">
        <v>7157832</v>
      </c>
      <c r="F12">
        <v>1</v>
      </c>
      <c r="G12">
        <v>7157832</v>
      </c>
      <c r="H12">
        <v>3</v>
      </c>
      <c r="I12" t="s">
        <v>159</v>
      </c>
      <c r="K12" t="s">
        <v>160</v>
      </c>
      <c r="L12">
        <v>1339</v>
      </c>
      <c r="N12">
        <v>1007</v>
      </c>
      <c r="O12" t="s">
        <v>150</v>
      </c>
      <c r="P12" t="s">
        <v>150</v>
      </c>
      <c r="Q12">
        <v>1</v>
      </c>
      <c r="X12">
        <v>0.5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G12">
        <v>0.5</v>
      </c>
      <c r="AH12">
        <v>3</v>
      </c>
      <c r="AI12">
        <v>-1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ROW(Source!A26)</f>
        <v>26</v>
      </c>
      <c r="B13">
        <v>20213902</v>
      </c>
      <c r="C13">
        <v>20213893</v>
      </c>
      <c r="D13">
        <v>7158474</v>
      </c>
      <c r="E13">
        <v>7157832</v>
      </c>
      <c r="F13">
        <v>1</v>
      </c>
      <c r="G13">
        <v>7157832</v>
      </c>
      <c r="H13">
        <v>3</v>
      </c>
      <c r="I13" t="s">
        <v>145</v>
      </c>
      <c r="K13" t="s">
        <v>146</v>
      </c>
      <c r="L13">
        <v>1348</v>
      </c>
      <c r="N13">
        <v>1009</v>
      </c>
      <c r="O13" t="s">
        <v>29</v>
      </c>
      <c r="P13" t="s">
        <v>29</v>
      </c>
      <c r="Q13">
        <v>1000</v>
      </c>
      <c r="X13">
        <v>1.032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G13">
        <v>1.032</v>
      </c>
      <c r="AH13">
        <v>2</v>
      </c>
      <c r="AI13">
        <v>20213902</v>
      </c>
      <c r="AJ13">
        <v>12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ROW(Source!A26)</f>
        <v>26</v>
      </c>
      <c r="B14">
        <v>20213903</v>
      </c>
      <c r="C14">
        <v>20213893</v>
      </c>
      <c r="D14">
        <v>7233230</v>
      </c>
      <c r="E14">
        <v>1</v>
      </c>
      <c r="F14">
        <v>1</v>
      </c>
      <c r="G14">
        <v>7157832</v>
      </c>
      <c r="H14">
        <v>3</v>
      </c>
      <c r="I14" t="s">
        <v>144</v>
      </c>
      <c r="X14">
        <v>0.0215</v>
      </c>
      <c r="Y14">
        <v>7191.81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0.0215</v>
      </c>
      <c r="AH14">
        <v>2</v>
      </c>
      <c r="AI14">
        <v>20213903</v>
      </c>
      <c r="AJ14">
        <v>13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ROW(Source!A26)</f>
        <v>26</v>
      </c>
      <c r="B15">
        <v>20213904</v>
      </c>
      <c r="C15">
        <v>20213893</v>
      </c>
      <c r="D15">
        <v>7162576</v>
      </c>
      <c r="E15">
        <v>7157832</v>
      </c>
      <c r="F15">
        <v>1</v>
      </c>
      <c r="G15">
        <v>7157832</v>
      </c>
      <c r="H15">
        <v>3</v>
      </c>
      <c r="I15" t="s">
        <v>161</v>
      </c>
      <c r="K15" t="s">
        <v>162</v>
      </c>
      <c r="L15">
        <v>1339</v>
      </c>
      <c r="N15">
        <v>1007</v>
      </c>
      <c r="O15" t="s">
        <v>150</v>
      </c>
      <c r="P15" t="s">
        <v>150</v>
      </c>
      <c r="Q15">
        <v>1</v>
      </c>
      <c r="X15">
        <v>2.6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G15">
        <v>2.6</v>
      </c>
      <c r="AH15">
        <v>3</v>
      </c>
      <c r="AI15">
        <v>-1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ROW(Source!A30)</f>
        <v>30</v>
      </c>
      <c r="B16">
        <v>20214205</v>
      </c>
      <c r="C16">
        <v>20214204</v>
      </c>
      <c r="D16">
        <v>7157835</v>
      </c>
      <c r="E16">
        <v>7157832</v>
      </c>
      <c r="F16">
        <v>1</v>
      </c>
      <c r="G16">
        <v>7157832</v>
      </c>
      <c r="H16">
        <v>1</v>
      </c>
      <c r="I16" t="s">
        <v>144</v>
      </c>
      <c r="X16">
        <v>39.55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1</v>
      </c>
      <c r="AF16" t="s">
        <v>32</v>
      </c>
      <c r="AG16">
        <v>45.482499999999995</v>
      </c>
      <c r="AH16">
        <v>2</v>
      </c>
      <c r="AI16">
        <v>20214205</v>
      </c>
      <c r="AJ16">
        <v>19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ROW(Source!A30)</f>
        <v>30</v>
      </c>
      <c r="B17">
        <v>20214206</v>
      </c>
      <c r="C17">
        <v>20214204</v>
      </c>
      <c r="D17">
        <v>7159942</v>
      </c>
      <c r="E17">
        <v>7157832</v>
      </c>
      <c r="F17">
        <v>1</v>
      </c>
      <c r="G17">
        <v>7157832</v>
      </c>
      <c r="H17">
        <v>2</v>
      </c>
      <c r="I17" t="s">
        <v>144</v>
      </c>
      <c r="X17">
        <v>37.45</v>
      </c>
      <c r="Y17">
        <v>0</v>
      </c>
      <c r="Z17">
        <v>1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31</v>
      </c>
      <c r="AG17">
        <v>46.8125</v>
      </c>
      <c r="AH17">
        <v>2</v>
      </c>
      <c r="AI17">
        <v>20214206</v>
      </c>
      <c r="AJ17">
        <v>20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ROW(Source!A30)</f>
        <v>30</v>
      </c>
      <c r="B18">
        <v>20214209</v>
      </c>
      <c r="C18">
        <v>20214204</v>
      </c>
      <c r="D18">
        <v>7182707</v>
      </c>
      <c r="E18">
        <v>7157832</v>
      </c>
      <c r="F18">
        <v>1</v>
      </c>
      <c r="G18">
        <v>7157832</v>
      </c>
      <c r="H18">
        <v>3</v>
      </c>
      <c r="I18" t="s">
        <v>144</v>
      </c>
      <c r="X18">
        <v>39.48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39.48</v>
      </c>
      <c r="AH18">
        <v>2</v>
      </c>
      <c r="AI18">
        <v>20214209</v>
      </c>
      <c r="AJ18">
        <v>21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ROW(Source!A30)</f>
        <v>30</v>
      </c>
      <c r="B19">
        <v>20214207</v>
      </c>
      <c r="C19">
        <v>20214204</v>
      </c>
      <c r="D19">
        <v>7237725</v>
      </c>
      <c r="E19">
        <v>1</v>
      </c>
      <c r="F19">
        <v>1</v>
      </c>
      <c r="G19">
        <v>7157832</v>
      </c>
      <c r="H19">
        <v>3</v>
      </c>
      <c r="I19" t="s">
        <v>144</v>
      </c>
      <c r="X19">
        <v>0.0002</v>
      </c>
      <c r="Y19">
        <v>12654.07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0.0002</v>
      </c>
      <c r="AH19">
        <v>2</v>
      </c>
      <c r="AI19">
        <v>20214207</v>
      </c>
      <c r="AJ19">
        <v>22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ROW(Source!A30)</f>
        <v>30</v>
      </c>
      <c r="B20">
        <v>20214208</v>
      </c>
      <c r="C20">
        <v>20214204</v>
      </c>
      <c r="D20">
        <v>7174410</v>
      </c>
      <c r="E20">
        <v>7157832</v>
      </c>
      <c r="F20">
        <v>1</v>
      </c>
      <c r="G20">
        <v>7157832</v>
      </c>
      <c r="H20">
        <v>3</v>
      </c>
      <c r="I20" t="s">
        <v>154</v>
      </c>
      <c r="K20" t="s">
        <v>155</v>
      </c>
      <c r="L20">
        <v>1348</v>
      </c>
      <c r="N20">
        <v>1009</v>
      </c>
      <c r="O20" t="s">
        <v>29</v>
      </c>
      <c r="P20" t="s">
        <v>29</v>
      </c>
      <c r="Q20">
        <v>1000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G20">
        <v>1</v>
      </c>
      <c r="AH20">
        <v>2</v>
      </c>
      <c r="AI20">
        <v>20214208</v>
      </c>
      <c r="AJ20">
        <v>23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ROW(Source!A31)</f>
        <v>31</v>
      </c>
      <c r="B21">
        <v>20215235</v>
      </c>
      <c r="C21">
        <v>20215234</v>
      </c>
      <c r="D21">
        <v>7157835</v>
      </c>
      <c r="E21">
        <v>7157832</v>
      </c>
      <c r="F21">
        <v>1</v>
      </c>
      <c r="G21">
        <v>7157832</v>
      </c>
      <c r="H21">
        <v>1</v>
      </c>
      <c r="I21" t="s">
        <v>144</v>
      </c>
      <c r="X21">
        <v>5.31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1</v>
      </c>
      <c r="AF21" t="s">
        <v>32</v>
      </c>
      <c r="AG21">
        <v>6.106499999999999</v>
      </c>
      <c r="AH21">
        <v>2</v>
      </c>
      <c r="AI21">
        <v>20215235</v>
      </c>
      <c r="AJ21">
        <v>24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ROW(Source!A31)</f>
        <v>31</v>
      </c>
      <c r="B22">
        <v>20215237</v>
      </c>
      <c r="C22">
        <v>20215234</v>
      </c>
      <c r="D22">
        <v>7159942</v>
      </c>
      <c r="E22">
        <v>7157832</v>
      </c>
      <c r="F22">
        <v>1</v>
      </c>
      <c r="G22">
        <v>7157832</v>
      </c>
      <c r="H22">
        <v>2</v>
      </c>
      <c r="I22" t="s">
        <v>144</v>
      </c>
      <c r="X22">
        <v>1.49</v>
      </c>
      <c r="Y22">
        <v>0</v>
      </c>
      <c r="Z22">
        <v>1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31</v>
      </c>
      <c r="AG22">
        <v>1.8625</v>
      </c>
      <c r="AH22">
        <v>2</v>
      </c>
      <c r="AI22">
        <v>20215237</v>
      </c>
      <c r="AJ22">
        <v>25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ROW(Source!A31)</f>
        <v>31</v>
      </c>
      <c r="B23">
        <v>20215236</v>
      </c>
      <c r="C23">
        <v>20215234</v>
      </c>
      <c r="D23">
        <v>7231134</v>
      </c>
      <c r="E23">
        <v>1</v>
      </c>
      <c r="F23">
        <v>1</v>
      </c>
      <c r="G23">
        <v>7157832</v>
      </c>
      <c r="H23">
        <v>2</v>
      </c>
      <c r="I23" t="s">
        <v>144</v>
      </c>
      <c r="X23">
        <v>1.12</v>
      </c>
      <c r="Y23">
        <v>0</v>
      </c>
      <c r="Z23">
        <v>17.32</v>
      </c>
      <c r="AA23">
        <v>1.36</v>
      </c>
      <c r="AB23">
        <v>0</v>
      </c>
      <c r="AC23">
        <v>0</v>
      </c>
      <c r="AD23">
        <v>1</v>
      </c>
      <c r="AE23">
        <v>0</v>
      </c>
      <c r="AF23" t="s">
        <v>31</v>
      </c>
      <c r="AG23">
        <v>1.4000000000000001</v>
      </c>
      <c r="AH23">
        <v>2</v>
      </c>
      <c r="AI23">
        <v>20215236</v>
      </c>
      <c r="AJ23">
        <v>26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ROW(Source!A31)</f>
        <v>31</v>
      </c>
      <c r="B24">
        <v>20215239</v>
      </c>
      <c r="C24">
        <v>20215234</v>
      </c>
      <c r="D24">
        <v>7164360</v>
      </c>
      <c r="E24">
        <v>7157832</v>
      </c>
      <c r="F24">
        <v>1</v>
      </c>
      <c r="G24">
        <v>7157832</v>
      </c>
      <c r="H24">
        <v>3</v>
      </c>
      <c r="I24" t="s">
        <v>144</v>
      </c>
      <c r="X24">
        <v>1.5</v>
      </c>
      <c r="Y24">
        <v>6.3036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1.5</v>
      </c>
      <c r="AH24">
        <v>2</v>
      </c>
      <c r="AI24">
        <v>20215239</v>
      </c>
      <c r="AJ24">
        <v>28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ROW(Source!A31)</f>
        <v>31</v>
      </c>
      <c r="B25">
        <v>20215238</v>
      </c>
      <c r="C25">
        <v>20215234</v>
      </c>
      <c r="D25">
        <v>7163947</v>
      </c>
      <c r="E25">
        <v>7157832</v>
      </c>
      <c r="F25">
        <v>1</v>
      </c>
      <c r="G25">
        <v>7157832</v>
      </c>
      <c r="H25">
        <v>3</v>
      </c>
      <c r="I25" t="s">
        <v>163</v>
      </c>
      <c r="K25" t="s">
        <v>164</v>
      </c>
      <c r="L25">
        <v>1348</v>
      </c>
      <c r="N25">
        <v>1009</v>
      </c>
      <c r="O25" t="s">
        <v>29</v>
      </c>
      <c r="P25" t="s">
        <v>29</v>
      </c>
      <c r="Q25">
        <v>1000</v>
      </c>
      <c r="X25">
        <v>0.009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G25">
        <v>0.009</v>
      </c>
      <c r="AH25">
        <v>3</v>
      </c>
      <c r="AI25">
        <v>-1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ROW(Source!A33)</f>
        <v>33</v>
      </c>
      <c r="B26">
        <v>20215265</v>
      </c>
      <c r="C26">
        <v>20215264</v>
      </c>
      <c r="D26">
        <v>7157835</v>
      </c>
      <c r="E26">
        <v>7157832</v>
      </c>
      <c r="F26">
        <v>1</v>
      </c>
      <c r="G26">
        <v>7157832</v>
      </c>
      <c r="H26">
        <v>1</v>
      </c>
      <c r="I26" t="s">
        <v>144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1</v>
      </c>
      <c r="AF26" t="s">
        <v>32</v>
      </c>
      <c r="AG26">
        <v>2.852</v>
      </c>
      <c r="AH26">
        <v>2</v>
      </c>
      <c r="AI26">
        <v>20215265</v>
      </c>
      <c r="AJ26">
        <v>29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ROW(Source!A33)</f>
        <v>33</v>
      </c>
      <c r="B27">
        <v>20215267</v>
      </c>
      <c r="C27">
        <v>20215264</v>
      </c>
      <c r="D27">
        <v>7159942</v>
      </c>
      <c r="E27">
        <v>7157832</v>
      </c>
      <c r="F27">
        <v>1</v>
      </c>
      <c r="G27">
        <v>7157832</v>
      </c>
      <c r="H27">
        <v>2</v>
      </c>
      <c r="I27" t="s">
        <v>144</v>
      </c>
      <c r="X27">
        <v>1.49</v>
      </c>
      <c r="Y27">
        <v>0</v>
      </c>
      <c r="Z27">
        <v>1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31</v>
      </c>
      <c r="AG27">
        <v>1.8625</v>
      </c>
      <c r="AH27">
        <v>2</v>
      </c>
      <c r="AI27">
        <v>20215267</v>
      </c>
      <c r="AJ27">
        <v>30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ROW(Source!A33)</f>
        <v>33</v>
      </c>
      <c r="B28">
        <v>20215266</v>
      </c>
      <c r="C28">
        <v>20215264</v>
      </c>
      <c r="D28">
        <v>7231134</v>
      </c>
      <c r="E28">
        <v>1</v>
      </c>
      <c r="F28">
        <v>1</v>
      </c>
      <c r="G28">
        <v>7157832</v>
      </c>
      <c r="H28">
        <v>2</v>
      </c>
      <c r="I28" t="s">
        <v>144</v>
      </c>
      <c r="X28">
        <v>1.12</v>
      </c>
      <c r="Y28">
        <v>0</v>
      </c>
      <c r="Z28">
        <v>17.32</v>
      </c>
      <c r="AA28">
        <v>1.36</v>
      </c>
      <c r="AB28">
        <v>0</v>
      </c>
      <c r="AC28">
        <v>0</v>
      </c>
      <c r="AD28">
        <v>1</v>
      </c>
      <c r="AE28">
        <v>0</v>
      </c>
      <c r="AF28" t="s">
        <v>31</v>
      </c>
      <c r="AG28">
        <v>1.4000000000000001</v>
      </c>
      <c r="AH28">
        <v>2</v>
      </c>
      <c r="AI28">
        <v>20215266</v>
      </c>
      <c r="AJ28">
        <v>31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ROW(Source!A33)</f>
        <v>33</v>
      </c>
      <c r="B29">
        <v>20215270</v>
      </c>
      <c r="C29">
        <v>20215264</v>
      </c>
      <c r="D29">
        <v>7164186</v>
      </c>
      <c r="E29">
        <v>7157832</v>
      </c>
      <c r="F29">
        <v>1</v>
      </c>
      <c r="G29">
        <v>7157832</v>
      </c>
      <c r="H29">
        <v>3</v>
      </c>
      <c r="I29" t="s">
        <v>144</v>
      </c>
      <c r="X29">
        <v>2</v>
      </c>
      <c r="Y29">
        <v>14.3257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2</v>
      </c>
      <c r="AH29">
        <v>2</v>
      </c>
      <c r="AI29">
        <v>20215270</v>
      </c>
      <c r="AJ29">
        <v>33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ROW(Source!A33)</f>
        <v>33</v>
      </c>
      <c r="B30">
        <v>20215268</v>
      </c>
      <c r="C30">
        <v>20215264</v>
      </c>
      <c r="D30">
        <v>7234491</v>
      </c>
      <c r="E30">
        <v>1</v>
      </c>
      <c r="F30">
        <v>1</v>
      </c>
      <c r="G30">
        <v>7157832</v>
      </c>
      <c r="H30">
        <v>3</v>
      </c>
      <c r="I30" t="s">
        <v>144</v>
      </c>
      <c r="X30">
        <v>4.33</v>
      </c>
      <c r="Y30">
        <v>93.3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4.33</v>
      </c>
      <c r="AH30">
        <v>2</v>
      </c>
      <c r="AI30">
        <v>20215268</v>
      </c>
      <c r="AJ30">
        <v>34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ROW(Source!A33)</f>
        <v>33</v>
      </c>
      <c r="B31">
        <v>20215269</v>
      </c>
      <c r="C31">
        <v>20215264</v>
      </c>
      <c r="D31">
        <v>7163968</v>
      </c>
      <c r="E31">
        <v>7157832</v>
      </c>
      <c r="F31">
        <v>1</v>
      </c>
      <c r="G31">
        <v>7157832</v>
      </c>
      <c r="H31">
        <v>3</v>
      </c>
      <c r="I31" t="s">
        <v>165</v>
      </c>
      <c r="K31" t="s">
        <v>166</v>
      </c>
      <c r="L31">
        <v>1346</v>
      </c>
      <c r="N31">
        <v>1009</v>
      </c>
      <c r="O31" t="s">
        <v>69</v>
      </c>
      <c r="P31" t="s">
        <v>69</v>
      </c>
      <c r="Q31">
        <v>1</v>
      </c>
      <c r="X31">
        <v>13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G31">
        <v>13</v>
      </c>
      <c r="AH31">
        <v>3</v>
      </c>
      <c r="AI31">
        <v>-1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ROW(Source!A35)</f>
        <v>35</v>
      </c>
      <c r="B32">
        <v>20217106</v>
      </c>
      <c r="C32">
        <v>20215310</v>
      </c>
      <c r="D32">
        <v>7157835</v>
      </c>
      <c r="E32">
        <v>7157832</v>
      </c>
      <c r="F32">
        <v>1</v>
      </c>
      <c r="G32">
        <v>7157832</v>
      </c>
      <c r="H32">
        <v>1</v>
      </c>
      <c r="I32" t="s">
        <v>144</v>
      </c>
      <c r="X32">
        <v>190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1</v>
      </c>
      <c r="AF32" t="s">
        <v>76</v>
      </c>
      <c r="AG32">
        <v>218.49999999999997</v>
      </c>
      <c r="AH32">
        <v>2</v>
      </c>
      <c r="AI32">
        <v>20217106</v>
      </c>
      <c r="AJ32">
        <v>35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ROW(Source!A35)</f>
        <v>35</v>
      </c>
      <c r="B33">
        <v>20217107</v>
      </c>
      <c r="C33">
        <v>20215310</v>
      </c>
      <c r="D33">
        <v>7159942</v>
      </c>
      <c r="E33">
        <v>7157832</v>
      </c>
      <c r="F33">
        <v>1</v>
      </c>
      <c r="G33">
        <v>7157832</v>
      </c>
      <c r="H33">
        <v>2</v>
      </c>
      <c r="I33" t="s">
        <v>144</v>
      </c>
      <c r="X33">
        <v>60.6</v>
      </c>
      <c r="Y33">
        <v>0</v>
      </c>
      <c r="Z33">
        <v>1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75</v>
      </c>
      <c r="AG33">
        <v>75.75</v>
      </c>
      <c r="AH33">
        <v>2</v>
      </c>
      <c r="AI33">
        <v>20217107</v>
      </c>
      <c r="AJ33">
        <v>36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ROW(Source!A35)</f>
        <v>35</v>
      </c>
      <c r="B34">
        <v>20217108</v>
      </c>
      <c r="C34">
        <v>20215310</v>
      </c>
      <c r="D34">
        <v>7232679</v>
      </c>
      <c r="E34">
        <v>1</v>
      </c>
      <c r="F34">
        <v>1</v>
      </c>
      <c r="G34">
        <v>7157832</v>
      </c>
      <c r="H34">
        <v>3</v>
      </c>
      <c r="I34" t="s">
        <v>144</v>
      </c>
      <c r="X34">
        <v>0.01005</v>
      </c>
      <c r="Y34">
        <v>23120.53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0.01005</v>
      </c>
      <c r="AH34">
        <v>2</v>
      </c>
      <c r="AI34">
        <v>20217108</v>
      </c>
      <c r="AJ34">
        <v>37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ROW(Source!A35)</f>
        <v>35</v>
      </c>
      <c r="B35">
        <v>20217109</v>
      </c>
      <c r="C35">
        <v>20215310</v>
      </c>
      <c r="D35">
        <v>7232761</v>
      </c>
      <c r="E35">
        <v>1</v>
      </c>
      <c r="F35">
        <v>1</v>
      </c>
      <c r="G35">
        <v>7157832</v>
      </c>
      <c r="H35">
        <v>3</v>
      </c>
      <c r="I35" t="s">
        <v>144</v>
      </c>
      <c r="X35">
        <v>0.00548</v>
      </c>
      <c r="Y35">
        <v>7254.88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0.00548</v>
      </c>
      <c r="AH35">
        <v>2</v>
      </c>
      <c r="AI35">
        <v>20217109</v>
      </c>
      <c r="AJ35">
        <v>38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ROW(Source!A35)</f>
        <v>35</v>
      </c>
      <c r="B36">
        <v>20217113</v>
      </c>
      <c r="C36">
        <v>20215310</v>
      </c>
      <c r="D36">
        <v>7171107</v>
      </c>
      <c r="E36">
        <v>7157832</v>
      </c>
      <c r="F36">
        <v>1</v>
      </c>
      <c r="G36">
        <v>7157832</v>
      </c>
      <c r="H36">
        <v>3</v>
      </c>
      <c r="I36" t="s">
        <v>144</v>
      </c>
      <c r="X36">
        <v>0.006</v>
      </c>
      <c r="Y36">
        <v>63880.0011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0.006</v>
      </c>
      <c r="AH36">
        <v>2</v>
      </c>
      <c r="AI36">
        <v>20217113</v>
      </c>
      <c r="AJ36">
        <v>39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ROW(Source!A35)</f>
        <v>35</v>
      </c>
      <c r="B37">
        <v>20217110</v>
      </c>
      <c r="C37">
        <v>20215310</v>
      </c>
      <c r="D37">
        <v>7231889</v>
      </c>
      <c r="E37">
        <v>1</v>
      </c>
      <c r="F37">
        <v>1</v>
      </c>
      <c r="G37">
        <v>7157832</v>
      </c>
      <c r="H37">
        <v>3</v>
      </c>
      <c r="I37" t="s">
        <v>144</v>
      </c>
      <c r="X37">
        <v>0.01</v>
      </c>
      <c r="Y37">
        <v>39052.85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0.01</v>
      </c>
      <c r="AH37">
        <v>2</v>
      </c>
      <c r="AI37">
        <v>20217110</v>
      </c>
      <c r="AJ37">
        <v>40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ROW(Source!A35)</f>
        <v>35</v>
      </c>
      <c r="B38">
        <v>20217111</v>
      </c>
      <c r="C38">
        <v>20215310</v>
      </c>
      <c r="D38">
        <v>7231947</v>
      </c>
      <c r="E38">
        <v>1</v>
      </c>
      <c r="F38">
        <v>1</v>
      </c>
      <c r="G38">
        <v>7157832</v>
      </c>
      <c r="H38">
        <v>3</v>
      </c>
      <c r="I38" t="s">
        <v>144</v>
      </c>
      <c r="X38">
        <v>418</v>
      </c>
      <c r="Y38">
        <v>3.86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418</v>
      </c>
      <c r="AH38">
        <v>2</v>
      </c>
      <c r="AI38">
        <v>20217111</v>
      </c>
      <c r="AJ38">
        <v>41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ROW(Source!A35)</f>
        <v>35</v>
      </c>
      <c r="B39">
        <v>20217112</v>
      </c>
      <c r="C39">
        <v>20215310</v>
      </c>
      <c r="D39">
        <v>7164478</v>
      </c>
      <c r="E39">
        <v>7157832</v>
      </c>
      <c r="F39">
        <v>1</v>
      </c>
      <c r="G39">
        <v>7157832</v>
      </c>
      <c r="H39">
        <v>3</v>
      </c>
      <c r="I39" t="s">
        <v>144</v>
      </c>
      <c r="X39">
        <v>10.2</v>
      </c>
      <c r="Y39">
        <v>11.3736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10.2</v>
      </c>
      <c r="AH39">
        <v>2</v>
      </c>
      <c r="AI39">
        <v>20217112</v>
      </c>
      <c r="AJ39">
        <v>43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ROW(Source!A35)</f>
        <v>35</v>
      </c>
      <c r="B40">
        <v>20217114</v>
      </c>
      <c r="C40">
        <v>20215310</v>
      </c>
      <c r="D40">
        <v>7175289</v>
      </c>
      <c r="E40">
        <v>7157832</v>
      </c>
      <c r="F40">
        <v>1</v>
      </c>
      <c r="G40">
        <v>7157832</v>
      </c>
      <c r="H40">
        <v>3</v>
      </c>
      <c r="I40" t="s">
        <v>167</v>
      </c>
      <c r="K40" t="s">
        <v>168</v>
      </c>
      <c r="L40">
        <v>1348</v>
      </c>
      <c r="N40">
        <v>1009</v>
      </c>
      <c r="O40" t="s">
        <v>29</v>
      </c>
      <c r="P40" t="s">
        <v>29</v>
      </c>
      <c r="Q40">
        <v>1000</v>
      </c>
      <c r="X40">
        <v>0.058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G40">
        <v>0.058</v>
      </c>
      <c r="AH40">
        <v>3</v>
      </c>
      <c r="AI40">
        <v>-1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ROW(Source!A35)</f>
        <v>35</v>
      </c>
      <c r="B41">
        <v>20217115</v>
      </c>
      <c r="C41">
        <v>20215310</v>
      </c>
      <c r="D41">
        <v>7175290</v>
      </c>
      <c r="E41">
        <v>7157832</v>
      </c>
      <c r="F41">
        <v>1</v>
      </c>
      <c r="G41">
        <v>7157832</v>
      </c>
      <c r="H41">
        <v>3</v>
      </c>
      <c r="I41" t="s">
        <v>167</v>
      </c>
      <c r="K41" t="s">
        <v>169</v>
      </c>
      <c r="L41">
        <v>1348</v>
      </c>
      <c r="N41">
        <v>1009</v>
      </c>
      <c r="O41" t="s">
        <v>29</v>
      </c>
      <c r="P41" t="s">
        <v>29</v>
      </c>
      <c r="Q41">
        <v>1000</v>
      </c>
      <c r="X41">
        <v>0.233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G41">
        <v>0.233</v>
      </c>
      <c r="AH41">
        <v>3</v>
      </c>
      <c r="AI41">
        <v>-1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ROW(Source!A35)</f>
        <v>35</v>
      </c>
      <c r="B42">
        <v>20217116</v>
      </c>
      <c r="C42">
        <v>20215310</v>
      </c>
      <c r="D42">
        <v>7175294</v>
      </c>
      <c r="E42">
        <v>7157832</v>
      </c>
      <c r="F42">
        <v>1</v>
      </c>
      <c r="G42">
        <v>7157832</v>
      </c>
      <c r="H42">
        <v>3</v>
      </c>
      <c r="I42" t="s">
        <v>167</v>
      </c>
      <c r="K42" t="s">
        <v>170</v>
      </c>
      <c r="L42">
        <v>1348</v>
      </c>
      <c r="N42">
        <v>1009</v>
      </c>
      <c r="O42" t="s">
        <v>29</v>
      </c>
      <c r="P42" t="s">
        <v>29</v>
      </c>
      <c r="Q42">
        <v>1000</v>
      </c>
      <c r="X42">
        <v>0.019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G42">
        <v>0.019</v>
      </c>
      <c r="AH42">
        <v>3</v>
      </c>
      <c r="AI42">
        <v>-1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ROW(Source!A35)</f>
        <v>35</v>
      </c>
      <c r="B43">
        <v>20217117</v>
      </c>
      <c r="C43">
        <v>20215310</v>
      </c>
      <c r="D43">
        <v>7178364</v>
      </c>
      <c r="E43">
        <v>7157832</v>
      </c>
      <c r="F43">
        <v>1</v>
      </c>
      <c r="G43">
        <v>7157832</v>
      </c>
      <c r="H43">
        <v>3</v>
      </c>
      <c r="I43" t="s">
        <v>171</v>
      </c>
      <c r="K43" t="s">
        <v>172</v>
      </c>
      <c r="L43">
        <v>1327</v>
      </c>
      <c r="N43">
        <v>1005</v>
      </c>
      <c r="O43" t="s">
        <v>22</v>
      </c>
      <c r="P43" t="s">
        <v>22</v>
      </c>
      <c r="Q43">
        <v>1</v>
      </c>
      <c r="X43">
        <v>121.3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G43">
        <v>121.3</v>
      </c>
      <c r="AH43">
        <v>3</v>
      </c>
      <c r="AI43">
        <v>-1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ROW(Source!A40)</f>
        <v>40</v>
      </c>
      <c r="B44">
        <v>20217095</v>
      </c>
      <c r="C44">
        <v>20215359</v>
      </c>
      <c r="D44">
        <v>7157835</v>
      </c>
      <c r="E44">
        <v>7157832</v>
      </c>
      <c r="F44">
        <v>1</v>
      </c>
      <c r="G44">
        <v>7157832</v>
      </c>
      <c r="H44">
        <v>1</v>
      </c>
      <c r="I44" t="s">
        <v>144</v>
      </c>
      <c r="X44">
        <v>41.83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1</v>
      </c>
      <c r="AF44" t="s">
        <v>76</v>
      </c>
      <c r="AG44">
        <v>48.104499999999994</v>
      </c>
      <c r="AH44">
        <v>2</v>
      </c>
      <c r="AI44">
        <v>20217095</v>
      </c>
      <c r="AJ44">
        <v>47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ROW(Source!A40)</f>
        <v>40</v>
      </c>
      <c r="B45">
        <v>20217096</v>
      </c>
      <c r="C45">
        <v>20215359</v>
      </c>
      <c r="D45">
        <v>7159942</v>
      </c>
      <c r="E45">
        <v>7157832</v>
      </c>
      <c r="F45">
        <v>1</v>
      </c>
      <c r="G45">
        <v>7157832</v>
      </c>
      <c r="H45">
        <v>2</v>
      </c>
      <c r="I45" t="s">
        <v>144</v>
      </c>
      <c r="X45">
        <v>4.76</v>
      </c>
      <c r="Y45">
        <v>0</v>
      </c>
      <c r="Z45">
        <v>1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75</v>
      </c>
      <c r="AG45">
        <v>5.949999999999999</v>
      </c>
      <c r="AH45">
        <v>2</v>
      </c>
      <c r="AI45">
        <v>20217096</v>
      </c>
      <c r="AJ45">
        <v>48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ROW(Source!A40)</f>
        <v>40</v>
      </c>
      <c r="B46">
        <v>20217097</v>
      </c>
      <c r="C46">
        <v>20215359</v>
      </c>
      <c r="D46">
        <v>7171107</v>
      </c>
      <c r="E46">
        <v>7157832</v>
      </c>
      <c r="F46">
        <v>1</v>
      </c>
      <c r="G46">
        <v>7157832</v>
      </c>
      <c r="H46">
        <v>3</v>
      </c>
      <c r="I46" t="s">
        <v>144</v>
      </c>
      <c r="X46">
        <v>0.00489</v>
      </c>
      <c r="Y46">
        <v>63880.0011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0.00489</v>
      </c>
      <c r="AH46">
        <v>2</v>
      </c>
      <c r="AI46">
        <v>20217097</v>
      </c>
      <c r="AJ46">
        <v>49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ROW(Source!A40)</f>
        <v>40</v>
      </c>
      <c r="B47">
        <v>20217098</v>
      </c>
      <c r="C47">
        <v>20215359</v>
      </c>
      <c r="D47">
        <v>7175289</v>
      </c>
      <c r="E47">
        <v>7157832</v>
      </c>
      <c r="F47">
        <v>1</v>
      </c>
      <c r="G47">
        <v>7157832</v>
      </c>
      <c r="H47">
        <v>3</v>
      </c>
      <c r="I47" t="s">
        <v>167</v>
      </c>
      <c r="K47" t="s">
        <v>168</v>
      </c>
      <c r="L47">
        <v>1348</v>
      </c>
      <c r="N47">
        <v>1009</v>
      </c>
      <c r="O47" t="s">
        <v>29</v>
      </c>
      <c r="P47" t="s">
        <v>29</v>
      </c>
      <c r="Q47">
        <v>1000</v>
      </c>
      <c r="X47">
        <v>0.02667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G47">
        <v>0.02667</v>
      </c>
      <c r="AH47">
        <v>3</v>
      </c>
      <c r="AI47">
        <v>-1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ROW(Source!A40)</f>
        <v>40</v>
      </c>
      <c r="B48">
        <v>20217099</v>
      </c>
      <c r="C48">
        <v>20215359</v>
      </c>
      <c r="D48">
        <v>7175290</v>
      </c>
      <c r="E48">
        <v>7157832</v>
      </c>
      <c r="F48">
        <v>1</v>
      </c>
      <c r="G48">
        <v>7157832</v>
      </c>
      <c r="H48">
        <v>3</v>
      </c>
      <c r="I48" t="s">
        <v>167</v>
      </c>
      <c r="K48" t="s">
        <v>169</v>
      </c>
      <c r="L48">
        <v>1348</v>
      </c>
      <c r="N48">
        <v>1009</v>
      </c>
      <c r="O48" t="s">
        <v>29</v>
      </c>
      <c r="P48" t="s">
        <v>29</v>
      </c>
      <c r="Q48">
        <v>1000</v>
      </c>
      <c r="X48">
        <v>0.08167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G48">
        <v>0.08167</v>
      </c>
      <c r="AH48">
        <v>3</v>
      </c>
      <c r="AI48">
        <v>-1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ROW(Source!A43)</f>
        <v>43</v>
      </c>
      <c r="B49">
        <v>20215368</v>
      </c>
      <c r="C49">
        <v>20215367</v>
      </c>
      <c r="D49">
        <v>7157835</v>
      </c>
      <c r="E49">
        <v>7157832</v>
      </c>
      <c r="F49">
        <v>1</v>
      </c>
      <c r="G49">
        <v>7157832</v>
      </c>
      <c r="H49">
        <v>1</v>
      </c>
      <c r="I49" t="s">
        <v>144</v>
      </c>
      <c r="X49">
        <v>67.1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1</v>
      </c>
      <c r="AF49" t="s">
        <v>32</v>
      </c>
      <c r="AG49">
        <v>77.16499999999999</v>
      </c>
      <c r="AH49">
        <v>2</v>
      </c>
      <c r="AI49">
        <v>20215368</v>
      </c>
      <c r="AJ49">
        <v>52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ROW(Source!A43)</f>
        <v>43</v>
      </c>
      <c r="B50">
        <v>20215369</v>
      </c>
      <c r="C50">
        <v>20215367</v>
      </c>
      <c r="D50">
        <v>7231421</v>
      </c>
      <c r="E50">
        <v>1</v>
      </c>
      <c r="F50">
        <v>1</v>
      </c>
      <c r="G50">
        <v>7157832</v>
      </c>
      <c r="H50">
        <v>2</v>
      </c>
      <c r="I50" t="s">
        <v>144</v>
      </c>
      <c r="X50">
        <v>1.89</v>
      </c>
      <c r="Y50">
        <v>0</v>
      </c>
      <c r="Z50">
        <v>74.44</v>
      </c>
      <c r="AA50">
        <v>17.59</v>
      </c>
      <c r="AB50">
        <v>0</v>
      </c>
      <c r="AC50">
        <v>0</v>
      </c>
      <c r="AD50">
        <v>1</v>
      </c>
      <c r="AE50">
        <v>0</v>
      </c>
      <c r="AF50" t="s">
        <v>31</v>
      </c>
      <c r="AG50">
        <v>2.3625</v>
      </c>
      <c r="AH50">
        <v>2</v>
      </c>
      <c r="AI50">
        <v>20215369</v>
      </c>
      <c r="AJ50">
        <v>53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ROW(Source!A43)</f>
        <v>43</v>
      </c>
      <c r="B51">
        <v>20215370</v>
      </c>
      <c r="C51">
        <v>20215367</v>
      </c>
      <c r="D51">
        <v>7230811</v>
      </c>
      <c r="E51">
        <v>1</v>
      </c>
      <c r="F51">
        <v>1</v>
      </c>
      <c r="G51">
        <v>7157832</v>
      </c>
      <c r="H51">
        <v>2</v>
      </c>
      <c r="I51" t="s">
        <v>144</v>
      </c>
      <c r="X51">
        <v>1.26</v>
      </c>
      <c r="Y51">
        <v>0</v>
      </c>
      <c r="Z51">
        <v>102.11</v>
      </c>
      <c r="AA51">
        <v>30.03</v>
      </c>
      <c r="AB51">
        <v>0</v>
      </c>
      <c r="AC51">
        <v>0</v>
      </c>
      <c r="AD51">
        <v>1</v>
      </c>
      <c r="AE51">
        <v>0</v>
      </c>
      <c r="AF51" t="s">
        <v>31</v>
      </c>
      <c r="AG51">
        <v>1.575</v>
      </c>
      <c r="AH51">
        <v>2</v>
      </c>
      <c r="AI51">
        <v>20215370</v>
      </c>
      <c r="AJ51">
        <v>54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ROW(Source!A43)</f>
        <v>43</v>
      </c>
      <c r="B52">
        <v>20215371</v>
      </c>
      <c r="C52">
        <v>20215367</v>
      </c>
      <c r="D52">
        <v>7171107</v>
      </c>
      <c r="E52">
        <v>7157832</v>
      </c>
      <c r="F52">
        <v>1</v>
      </c>
      <c r="G52">
        <v>7157832</v>
      </c>
      <c r="H52">
        <v>3</v>
      </c>
      <c r="I52" t="s">
        <v>144</v>
      </c>
      <c r="X52">
        <v>0.0034</v>
      </c>
      <c r="Y52">
        <v>63880.0011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0.0034</v>
      </c>
      <c r="AH52">
        <v>2</v>
      </c>
      <c r="AI52">
        <v>20215371</v>
      </c>
      <c r="AJ52">
        <v>55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ROW(Source!A43)</f>
        <v>43</v>
      </c>
      <c r="B53">
        <v>20215372</v>
      </c>
      <c r="C53">
        <v>20215367</v>
      </c>
      <c r="D53">
        <v>7173571</v>
      </c>
      <c r="E53">
        <v>7157832</v>
      </c>
      <c r="F53">
        <v>1</v>
      </c>
      <c r="G53">
        <v>7157832</v>
      </c>
      <c r="H53">
        <v>3</v>
      </c>
      <c r="I53" t="s">
        <v>156</v>
      </c>
      <c r="K53" t="s">
        <v>157</v>
      </c>
      <c r="L53">
        <v>1035</v>
      </c>
      <c r="N53">
        <v>1013</v>
      </c>
      <c r="O53" t="s">
        <v>158</v>
      </c>
      <c r="P53" t="s">
        <v>158</v>
      </c>
      <c r="Q53">
        <v>1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G53">
        <v>0</v>
      </c>
      <c r="AH53">
        <v>2</v>
      </c>
      <c r="AI53">
        <v>20215372</v>
      </c>
      <c r="AJ53">
        <v>57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ROW(Source!A43)</f>
        <v>43</v>
      </c>
      <c r="B54">
        <v>20215373</v>
      </c>
      <c r="C54">
        <v>20215367</v>
      </c>
      <c r="D54">
        <v>7176323</v>
      </c>
      <c r="E54">
        <v>7157832</v>
      </c>
      <c r="F54">
        <v>1</v>
      </c>
      <c r="G54">
        <v>7157832</v>
      </c>
      <c r="H54">
        <v>3</v>
      </c>
      <c r="I54" t="s">
        <v>173</v>
      </c>
      <c r="K54" t="s">
        <v>174</v>
      </c>
      <c r="L54">
        <v>1327</v>
      </c>
      <c r="N54">
        <v>1005</v>
      </c>
      <c r="O54" t="s">
        <v>22</v>
      </c>
      <c r="P54" t="s">
        <v>22</v>
      </c>
      <c r="Q54">
        <v>1</v>
      </c>
      <c r="X54">
        <v>100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G54">
        <v>100</v>
      </c>
      <c r="AH54">
        <v>3</v>
      </c>
      <c r="AI54">
        <v>-1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ROW(Source!A45)</f>
        <v>45</v>
      </c>
      <c r="B55">
        <v>20217150</v>
      </c>
      <c r="C55">
        <v>20217149</v>
      </c>
      <c r="D55">
        <v>7157835</v>
      </c>
      <c r="E55">
        <v>7157832</v>
      </c>
      <c r="F55">
        <v>1</v>
      </c>
      <c r="G55">
        <v>7157832</v>
      </c>
      <c r="H55">
        <v>1</v>
      </c>
      <c r="I55" t="s">
        <v>144</v>
      </c>
      <c r="X55">
        <v>242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1</v>
      </c>
      <c r="AF55" t="s">
        <v>76</v>
      </c>
      <c r="AG55">
        <v>278.29999999999995</v>
      </c>
      <c r="AH55">
        <v>2</v>
      </c>
      <c r="AI55">
        <v>20217150</v>
      </c>
      <c r="AJ55">
        <v>58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ROW(Source!A45)</f>
        <v>45</v>
      </c>
      <c r="B56">
        <v>20217151</v>
      </c>
      <c r="C56">
        <v>20217149</v>
      </c>
      <c r="D56">
        <v>7159942</v>
      </c>
      <c r="E56">
        <v>7157832</v>
      </c>
      <c r="F56">
        <v>1</v>
      </c>
      <c r="G56">
        <v>7157832</v>
      </c>
      <c r="H56">
        <v>2</v>
      </c>
      <c r="I56" t="s">
        <v>144</v>
      </c>
      <c r="X56">
        <v>216.26</v>
      </c>
      <c r="Y56">
        <v>0</v>
      </c>
      <c r="Z56">
        <v>1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75</v>
      </c>
      <c r="AG56">
        <v>270.325</v>
      </c>
      <c r="AH56">
        <v>2</v>
      </c>
      <c r="AI56">
        <v>20217151</v>
      </c>
      <c r="AJ56">
        <v>59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ROW(Source!A45)</f>
        <v>45</v>
      </c>
      <c r="B57">
        <v>20217152</v>
      </c>
      <c r="C57">
        <v>20217149</v>
      </c>
      <c r="D57">
        <v>7233166</v>
      </c>
      <c r="E57">
        <v>1</v>
      </c>
      <c r="F57">
        <v>1</v>
      </c>
      <c r="G57">
        <v>7157832</v>
      </c>
      <c r="H57">
        <v>3</v>
      </c>
      <c r="I57" t="s">
        <v>144</v>
      </c>
      <c r="X57">
        <v>0.0012</v>
      </c>
      <c r="Y57">
        <v>29128.14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0.0012</v>
      </c>
      <c r="AH57">
        <v>2</v>
      </c>
      <c r="AI57">
        <v>20217152</v>
      </c>
      <c r="AJ57">
        <v>60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ROW(Source!A45)</f>
        <v>45</v>
      </c>
      <c r="B58">
        <v>20217153</v>
      </c>
      <c r="C58">
        <v>20217149</v>
      </c>
      <c r="D58">
        <v>7237749</v>
      </c>
      <c r="E58">
        <v>1</v>
      </c>
      <c r="F58">
        <v>1</v>
      </c>
      <c r="G58">
        <v>7157832</v>
      </c>
      <c r="H58">
        <v>3</v>
      </c>
      <c r="I58" t="s">
        <v>144</v>
      </c>
      <c r="X58">
        <v>0.12</v>
      </c>
      <c r="Y58">
        <v>17742.7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0.12</v>
      </c>
      <c r="AH58">
        <v>2</v>
      </c>
      <c r="AI58">
        <v>20217153</v>
      </c>
      <c r="AJ58">
        <v>61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ROW(Source!A45)</f>
        <v>45</v>
      </c>
      <c r="B59">
        <v>20217154</v>
      </c>
      <c r="C59">
        <v>20217149</v>
      </c>
      <c r="D59">
        <v>7177306</v>
      </c>
      <c r="E59">
        <v>7157832</v>
      </c>
      <c r="F59">
        <v>1</v>
      </c>
      <c r="G59">
        <v>7157832</v>
      </c>
      <c r="H59">
        <v>3</v>
      </c>
      <c r="I59" t="s">
        <v>175</v>
      </c>
      <c r="K59" t="s">
        <v>176</v>
      </c>
      <c r="L59">
        <v>1327</v>
      </c>
      <c r="N59">
        <v>1005</v>
      </c>
      <c r="O59" t="s">
        <v>22</v>
      </c>
      <c r="P59" t="s">
        <v>22</v>
      </c>
      <c r="Q59">
        <v>1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G59">
        <v>0</v>
      </c>
      <c r="AH59">
        <v>3</v>
      </c>
      <c r="AI59">
        <v>-1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Маркетолог</dc:creator>
  <cp:keywords/>
  <dc:description/>
  <cp:lastModifiedBy>Маркетолог</cp:lastModifiedBy>
  <dcterms:created xsi:type="dcterms:W3CDTF">2020-06-09T09:51:15Z</dcterms:created>
  <dcterms:modified xsi:type="dcterms:W3CDTF">2020-06-09T09:51:15Z</dcterms:modified>
  <cp:category/>
  <cp:version/>
  <cp:contentType/>
  <cp:contentStatus/>
</cp:coreProperties>
</file>